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richData/richValueRel.xml" ContentType="application/vnd.ms-excel.richvaluerel+xml"/>
  <Override PartName="/xl/richData/rdrichvalue.xml" ContentType="application/vnd.ms-excel.rdrichvalue+xml"/>
  <Override PartName="/xl/richData/rdrichvaluestructure.xml" ContentType="application/vnd.ms-excel.rdrichvaluestructure+xml"/>
  <Override PartName="/xl/richData/rdRichValueTypes.xml" ContentType="application/vnd.ms-excel.rdrichvaluetypes+xml"/>
  <Override PartName="/xl/drawings/drawing1.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drawings/drawing2.xml" ContentType="application/vnd.openxmlformats-officedocument.drawing+xml"/>
  <Override PartName="/xl/comments1.xml" ContentType="application/vnd.openxmlformats-officedocument.spreadsheetml.comments+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drawings/drawing3.xml" ContentType="application/vnd.openxmlformats-officedocument.drawing+xml"/>
  <Override PartName="/xl/comments2.xml" ContentType="application/vnd.openxmlformats-officedocument.spreadsheetml.comments+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comments3.xml" ContentType="application/vnd.openxmlformats-officedocument.spreadsheetml.comments+xml"/>
  <Override PartName="/xl/threadedComments/threadedComment1.xml" ContentType="application/vnd.ms-excel.threadedcomments+xml"/>
  <Override PartName="/xl/persons/person.xml" ContentType="application/vnd.ms-excel.person+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mc:AlternateContent xmlns:mc="http://schemas.openxmlformats.org/markup-compatibility/2006">
    <mc:Choice Requires="x15">
      <x15ac:absPath xmlns:x15ac="http://schemas.microsoft.com/office/spreadsheetml/2010/11/ac" url="https://d.docs.live.net/911ab5877607595d/Desktop/VCMI content freeze 8 April/Files to replace on Media/"/>
    </mc:Choice>
  </mc:AlternateContent>
  <xr:revisionPtr revIDLastSave="0" documentId="8_{BBA958F9-E0CE-4797-874F-A7AD741337FC}" xr6:coauthVersionLast="47" xr6:coauthVersionMax="47" xr10:uidLastSave="{00000000-0000-0000-0000-000000000000}"/>
  <bookViews>
    <workbookView xWindow="-110" yWindow="-110" windowWidth="19420" windowHeight="10300" firstSheet="4" activeTab="4" xr2:uid="{402038A1-49AF-4E25-8530-7DFF171B01E3}"/>
  </bookViews>
  <sheets>
    <sheet name="Example 1" sheetId="2" state="hidden" r:id="rId1"/>
    <sheet name="Example 2" sheetId="3" state="hidden" r:id="rId2"/>
    <sheet name="Banking comparission" sheetId="4" state="hidden" r:id="rId3"/>
    <sheet name="Claim examples" sheetId="5" state="hidden" r:id="rId4"/>
    <sheet name="Intro" sheetId="23" r:id="rId5"/>
    <sheet name="Absolute_targets" sheetId="7" r:id="rId6"/>
    <sheet name="Intensity_targets" sheetId="6" r:id="rId7"/>
    <sheet name="Combined_4_alt" sheetId="22" state="hidden" r:id="rId8"/>
    <sheet name="Reb_up" sheetId="11" state="hidden" r:id="rId9"/>
    <sheet name="Reb_down" sheetId="16" state="hidden" r:id="rId10"/>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G29" i="7" l="1"/>
  <c r="F35" i="6"/>
  <c r="G35" i="6"/>
  <c r="H35" i="6"/>
  <c r="I35" i="6"/>
  <c r="J35" i="6"/>
  <c r="K35" i="6"/>
  <c r="L35" i="6"/>
  <c r="M35" i="6"/>
  <c r="E35" i="6"/>
  <c r="E23" i="6"/>
  <c r="F23" i="6"/>
  <c r="G23" i="6"/>
  <c r="H23" i="6"/>
  <c r="I23" i="6"/>
  <c r="J23" i="6"/>
  <c r="K23" i="6"/>
  <c r="L23" i="6"/>
  <c r="M23" i="6"/>
  <c r="D23" i="6"/>
  <c r="D23" i="7"/>
  <c r="F23" i="7"/>
  <c r="G23" i="7"/>
  <c r="H23" i="7"/>
  <c r="I23" i="7"/>
  <c r="J23" i="7"/>
  <c r="K23" i="7"/>
  <c r="L23" i="7"/>
  <c r="M23" i="7"/>
  <c r="E23" i="7"/>
  <c r="C27" i="6"/>
  <c r="C23" i="6"/>
  <c r="C22" i="6"/>
  <c r="D22" i="6" s="1"/>
  <c r="C27" i="7"/>
  <c r="D27" i="7" s="1"/>
  <c r="E27" i="7" s="1"/>
  <c r="F27" i="7" s="1"/>
  <c r="G27" i="7" s="1"/>
  <c r="H27" i="7" s="1"/>
  <c r="I27" i="7" s="1"/>
  <c r="J27" i="7" s="1"/>
  <c r="K27" i="7" s="1"/>
  <c r="L27" i="7" s="1"/>
  <c r="M27" i="7" s="1"/>
  <c r="C23" i="7"/>
  <c r="C22" i="7"/>
  <c r="D22" i="7" s="1"/>
  <c r="M52" i="22"/>
  <c r="M53" i="22"/>
  <c r="M38" i="22"/>
  <c r="N38" i="22"/>
  <c r="O38" i="22"/>
  <c r="P38" i="22"/>
  <c r="Q38" i="22"/>
  <c r="M39" i="22"/>
  <c r="N39" i="22"/>
  <c r="O39" i="22"/>
  <c r="P39" i="22"/>
  <c r="Q39" i="22"/>
  <c r="C22" i="22"/>
  <c r="C41" i="22"/>
  <c r="C42" i="22" s="1"/>
  <c r="N36" i="22"/>
  <c r="N35" i="22"/>
  <c r="O35" i="22"/>
  <c r="P35" i="22"/>
  <c r="Q35" i="22"/>
  <c r="R35" i="22"/>
  <c r="N34" i="22"/>
  <c r="O34" i="22"/>
  <c r="P34" i="22"/>
  <c r="Q34" i="22"/>
  <c r="R34" i="22"/>
  <c r="N45" i="22"/>
  <c r="P45" i="22"/>
  <c r="R45" i="22"/>
  <c r="C9" i="22"/>
  <c r="C32" i="22" s="1"/>
  <c r="D8" i="22"/>
  <c r="E8" i="22" s="1"/>
  <c r="D7" i="22"/>
  <c r="D13" i="22" s="1"/>
  <c r="F45" i="22"/>
  <c r="G45" i="22" s="1"/>
  <c r="H45" i="22" s="1"/>
  <c r="I45" i="22" s="1"/>
  <c r="J45" i="22" s="1"/>
  <c r="K45" i="22" s="1"/>
  <c r="L45" i="22" s="1"/>
  <c r="G26" i="22"/>
  <c r="H26" i="22" s="1"/>
  <c r="I26" i="22" s="1"/>
  <c r="J26" i="22" s="1"/>
  <c r="K26" i="22" s="1"/>
  <c r="L26" i="22" s="1"/>
  <c r="F26" i="22"/>
  <c r="C13" i="22"/>
  <c r="E22" i="6" l="1"/>
  <c r="D35" i="6"/>
  <c r="D29" i="6"/>
  <c r="D30" i="6" s="1"/>
  <c r="D28" i="6"/>
  <c r="C28" i="6"/>
  <c r="D27" i="6"/>
  <c r="E27" i="6" s="1"/>
  <c r="F27" i="6" s="1"/>
  <c r="G27" i="6" s="1"/>
  <c r="H27" i="6" s="1"/>
  <c r="I27" i="6" s="1"/>
  <c r="J27" i="6" s="1"/>
  <c r="K27" i="6" s="1"/>
  <c r="L27" i="6" s="1"/>
  <c r="M27" i="6" s="1"/>
  <c r="E22" i="7"/>
  <c r="D29" i="7"/>
  <c r="D30" i="7" s="1"/>
  <c r="D35" i="7"/>
  <c r="E28" i="7"/>
  <c r="E28" i="6"/>
  <c r="D28" i="7"/>
  <c r="C28" i="7"/>
  <c r="P36" i="22"/>
  <c r="O36" i="22"/>
  <c r="R36" i="22"/>
  <c r="Q36" i="22"/>
  <c r="E7" i="22"/>
  <c r="F7" i="22" s="1"/>
  <c r="G7" i="22" s="1"/>
  <c r="H7" i="22" s="1"/>
  <c r="I7" i="22" s="1"/>
  <c r="J7" i="22" s="1"/>
  <c r="K7" i="22" s="1"/>
  <c r="L7" i="22" s="1"/>
  <c r="M7" i="22" s="1"/>
  <c r="F8" i="22"/>
  <c r="D9" i="22"/>
  <c r="D32" i="22"/>
  <c r="F53" i="16"/>
  <c r="G53" i="16" s="1"/>
  <c r="H53" i="16" s="1"/>
  <c r="I53" i="16" s="1"/>
  <c r="J53" i="16" s="1"/>
  <c r="K53" i="16" s="1"/>
  <c r="L53" i="16" s="1"/>
  <c r="G29" i="16"/>
  <c r="H29" i="16" s="1"/>
  <c r="I29" i="16" s="1"/>
  <c r="J29" i="16" s="1"/>
  <c r="K29" i="16" s="1"/>
  <c r="L29" i="16" s="1"/>
  <c r="F29" i="16"/>
  <c r="C15" i="16"/>
  <c r="D11" i="16"/>
  <c r="D39" i="16" s="1"/>
  <c r="C11" i="16"/>
  <c r="C39" i="16" s="1"/>
  <c r="D10" i="16"/>
  <c r="E10" i="16" s="1"/>
  <c r="C26" i="11"/>
  <c r="C25" i="11"/>
  <c r="P23" i="11"/>
  <c r="P22" i="11"/>
  <c r="P21" i="11"/>
  <c r="F53" i="11"/>
  <c r="G53" i="11" s="1"/>
  <c r="H53" i="11" s="1"/>
  <c r="I53" i="11" s="1"/>
  <c r="J53" i="11" s="1"/>
  <c r="K53" i="11" s="1"/>
  <c r="L53" i="11" s="1"/>
  <c r="C11" i="11"/>
  <c r="C39" i="11" s="1"/>
  <c r="F29" i="11"/>
  <c r="G29" i="11" s="1"/>
  <c r="H29" i="11" s="1"/>
  <c r="I29" i="11" s="1"/>
  <c r="J29" i="11" s="1"/>
  <c r="K29" i="11" s="1"/>
  <c r="L29" i="11" s="1"/>
  <c r="C15" i="11"/>
  <c r="D10" i="11"/>
  <c r="E10" i="11" s="1"/>
  <c r="E11" i="11" s="1"/>
  <c r="E39" i="11" s="1"/>
  <c r="D31" i="6" l="1"/>
  <c r="F22" i="6"/>
  <c r="E29" i="6"/>
  <c r="E30" i="6" s="1"/>
  <c r="E31" i="6" s="1"/>
  <c r="D31" i="7"/>
  <c r="F22" i="7"/>
  <c r="E29" i="7"/>
  <c r="E30" i="7" s="1"/>
  <c r="F28" i="6"/>
  <c r="E9" i="22"/>
  <c r="E46" i="22" s="1"/>
  <c r="E33" i="22" s="1"/>
  <c r="G8" i="22"/>
  <c r="F9" i="22"/>
  <c r="F46" i="22" s="1"/>
  <c r="F33" i="22" s="1"/>
  <c r="E13" i="22"/>
  <c r="F10" i="16"/>
  <c r="E15" i="16"/>
  <c r="E11" i="16"/>
  <c r="E39" i="16" s="1"/>
  <c r="D15" i="16"/>
  <c r="H19" i="11"/>
  <c r="F19" i="11"/>
  <c r="G19" i="11"/>
  <c r="E19" i="11"/>
  <c r="E56" i="11"/>
  <c r="E55" i="11"/>
  <c r="E54" i="11"/>
  <c r="D11" i="11"/>
  <c r="D39" i="11" s="1"/>
  <c r="F10" i="11"/>
  <c r="F11" i="11" s="1"/>
  <c r="F39" i="11" s="1"/>
  <c r="E15" i="11"/>
  <c r="R16" i="11" s="1"/>
  <c r="D15" i="11"/>
  <c r="E31" i="7" l="1"/>
  <c r="G22" i="6"/>
  <c r="F29" i="6"/>
  <c r="F30" i="6" s="1"/>
  <c r="F31" i="6" s="1"/>
  <c r="G22" i="7"/>
  <c r="F29" i="7"/>
  <c r="F28" i="7"/>
  <c r="G28" i="6"/>
  <c r="E32" i="22"/>
  <c r="E34" i="22" s="1"/>
  <c r="E35" i="22" s="1"/>
  <c r="E38" i="22" s="1"/>
  <c r="E55" i="22" s="1"/>
  <c r="H8" i="22"/>
  <c r="G9" i="22"/>
  <c r="G32" i="22" s="1"/>
  <c r="F32" i="22"/>
  <c r="F34" i="22" s="1"/>
  <c r="F35" i="22" s="1"/>
  <c r="F38" i="22" s="1"/>
  <c r="F55" i="22" s="1"/>
  <c r="F13" i="22"/>
  <c r="F27" i="22" s="1"/>
  <c r="F14" i="22" s="1"/>
  <c r="F15" i="22" s="1"/>
  <c r="E27" i="22"/>
  <c r="E14" i="22" s="1"/>
  <c r="E15" i="22" s="1"/>
  <c r="E16" i="22" s="1"/>
  <c r="F15" i="16"/>
  <c r="G10" i="16"/>
  <c r="F11" i="16"/>
  <c r="F39" i="16" s="1"/>
  <c r="E56" i="16"/>
  <c r="E55" i="16"/>
  <c r="E54" i="16"/>
  <c r="E31" i="16"/>
  <c r="E30" i="16"/>
  <c r="E16" i="16" s="1"/>
  <c r="E17" i="16" s="1"/>
  <c r="R16" i="16"/>
  <c r="E32" i="16"/>
  <c r="F54" i="11"/>
  <c r="F55" i="11"/>
  <c r="F56" i="11"/>
  <c r="G10" i="11"/>
  <c r="G11" i="11" s="1"/>
  <c r="G39" i="11" s="1"/>
  <c r="F15" i="11"/>
  <c r="S16" i="11" s="1"/>
  <c r="E31" i="11"/>
  <c r="E30" i="11"/>
  <c r="E16" i="11" s="1"/>
  <c r="E17" i="11" s="1"/>
  <c r="R18" i="11" s="1"/>
  <c r="E32" i="11"/>
  <c r="E9" i="5"/>
  <c r="F9" i="5" s="1"/>
  <c r="E8" i="5"/>
  <c r="E13" i="5" s="1"/>
  <c r="L7" i="5"/>
  <c r="L8" i="5" s="1"/>
  <c r="E7" i="5"/>
  <c r="L6" i="5"/>
  <c r="K6" i="5"/>
  <c r="K7" i="5" s="1"/>
  <c r="K8" i="5" s="1"/>
  <c r="J6" i="5"/>
  <c r="J7" i="5" s="1"/>
  <c r="J8" i="5" s="1"/>
  <c r="I6" i="5"/>
  <c r="I7" i="5" s="1"/>
  <c r="I8" i="5" s="1"/>
  <c r="M5" i="5"/>
  <c r="L5" i="5"/>
  <c r="K5" i="5"/>
  <c r="J5" i="5"/>
  <c r="I5" i="5"/>
  <c r="H5" i="5"/>
  <c r="H6" i="5" s="1"/>
  <c r="H7" i="5" s="1"/>
  <c r="H8" i="5" s="1"/>
  <c r="G5" i="5"/>
  <c r="G6" i="5" s="1"/>
  <c r="G7" i="5" s="1"/>
  <c r="G8" i="5" s="1"/>
  <c r="F5" i="5"/>
  <c r="F6" i="5" s="1"/>
  <c r="F7" i="5" s="1"/>
  <c r="F8" i="5" s="1"/>
  <c r="E5" i="5"/>
  <c r="D5" i="5"/>
  <c r="F30" i="7" l="1"/>
  <c r="H22" i="6"/>
  <c r="G29" i="6"/>
  <c r="G30" i="6" s="1"/>
  <c r="G31" i="6" s="1"/>
  <c r="H22" i="7"/>
  <c r="H28" i="7"/>
  <c r="G28" i="7"/>
  <c r="H28" i="6"/>
  <c r="G46" i="22"/>
  <c r="G33" i="22" s="1"/>
  <c r="I8" i="22"/>
  <c r="H9" i="22"/>
  <c r="H32" i="22" s="1"/>
  <c r="H46" i="22"/>
  <c r="H33" i="22" s="1"/>
  <c r="F16" i="22"/>
  <c r="F19" i="22" s="1"/>
  <c r="F52" i="22" s="1"/>
  <c r="G13" i="22"/>
  <c r="G27" i="22" s="1"/>
  <c r="G14" i="22" s="1"/>
  <c r="G15" i="22" s="1"/>
  <c r="E19" i="22"/>
  <c r="E52" i="22" s="1"/>
  <c r="R18" i="16"/>
  <c r="E18" i="16"/>
  <c r="E21" i="16" s="1"/>
  <c r="G15" i="16"/>
  <c r="G11" i="16"/>
  <c r="G39" i="16" s="1"/>
  <c r="H10" i="16"/>
  <c r="F30" i="16"/>
  <c r="F16" i="16" s="1"/>
  <c r="F17" i="16" s="1"/>
  <c r="S16" i="16"/>
  <c r="F32" i="16"/>
  <c r="F31" i="16"/>
  <c r="F55" i="16"/>
  <c r="F54" i="16"/>
  <c r="F56" i="16"/>
  <c r="G54" i="11"/>
  <c r="G55" i="11"/>
  <c r="G56" i="11"/>
  <c r="F30" i="11"/>
  <c r="F16" i="11" s="1"/>
  <c r="F17" i="11" s="1"/>
  <c r="S18" i="11" s="1"/>
  <c r="F31" i="11"/>
  <c r="F32" i="11"/>
  <c r="H10" i="11"/>
  <c r="H11" i="11" s="1"/>
  <c r="H39" i="11" s="1"/>
  <c r="G15" i="11"/>
  <c r="T16" i="11" s="1"/>
  <c r="E18" i="11"/>
  <c r="E21" i="11" s="1"/>
  <c r="G9" i="5"/>
  <c r="F13" i="5"/>
  <c r="P5" i="5"/>
  <c r="E8" i="4"/>
  <c r="M4" i="4"/>
  <c r="L4" i="4"/>
  <c r="K4" i="4"/>
  <c r="K5" i="4" s="1"/>
  <c r="J4" i="4"/>
  <c r="J5" i="4" s="1"/>
  <c r="I4" i="4"/>
  <c r="I5" i="4" s="1"/>
  <c r="H4" i="4"/>
  <c r="H5" i="4" s="1"/>
  <c r="G4" i="4"/>
  <c r="G5" i="4" s="1"/>
  <c r="F4" i="4"/>
  <c r="F5" i="4" s="1"/>
  <c r="E4" i="4"/>
  <c r="D4" i="4"/>
  <c r="L18" i="3"/>
  <c r="I18" i="3"/>
  <c r="L17" i="3"/>
  <c r="I17" i="3"/>
  <c r="H17" i="3"/>
  <c r="H18" i="3" s="1"/>
  <c r="G17" i="3"/>
  <c r="G18" i="3" s="1"/>
  <c r="F17" i="3"/>
  <c r="F18" i="3" s="1"/>
  <c r="E17" i="3"/>
  <c r="E18" i="3" s="1"/>
  <c r="M15" i="3"/>
  <c r="L15" i="3"/>
  <c r="K15" i="3"/>
  <c r="K17" i="3" s="1"/>
  <c r="K18" i="3" s="1"/>
  <c r="J15" i="3"/>
  <c r="J17" i="3" s="1"/>
  <c r="J18" i="3" s="1"/>
  <c r="I15" i="3"/>
  <c r="H15" i="3"/>
  <c r="G15" i="3"/>
  <c r="F15" i="3"/>
  <c r="E15" i="3"/>
  <c r="P15" i="3" s="1"/>
  <c r="D15" i="3"/>
  <c r="H11" i="3"/>
  <c r="G11" i="3"/>
  <c r="M10" i="3"/>
  <c r="L10" i="3"/>
  <c r="L11" i="3" s="1"/>
  <c r="K10" i="3"/>
  <c r="K11" i="3" s="1"/>
  <c r="J10" i="3"/>
  <c r="J11" i="3" s="1"/>
  <c r="I10" i="3"/>
  <c r="I11" i="3" s="1"/>
  <c r="H10" i="3"/>
  <c r="G10" i="3"/>
  <c r="F10" i="3"/>
  <c r="F11" i="3" s="1"/>
  <c r="E20" i="2"/>
  <c r="F20" i="2"/>
  <c r="G20" i="2"/>
  <c r="H20" i="2"/>
  <c r="I20" i="2"/>
  <c r="J20" i="2"/>
  <c r="K20" i="2"/>
  <c r="L20" i="2"/>
  <c r="H18" i="2"/>
  <c r="I18" i="2"/>
  <c r="J18" i="2"/>
  <c r="K18" i="2"/>
  <c r="L18" i="2"/>
  <c r="E18" i="2"/>
  <c r="F17" i="2"/>
  <c r="F18" i="2" s="1"/>
  <c r="G17" i="2"/>
  <c r="G18" i="2" s="1"/>
  <c r="H17" i="2"/>
  <c r="I17" i="2"/>
  <c r="L17" i="2"/>
  <c r="D15" i="2"/>
  <c r="E15" i="2"/>
  <c r="E17" i="2" s="1"/>
  <c r="F15" i="2"/>
  <c r="G15" i="2"/>
  <c r="H15" i="2"/>
  <c r="I15" i="2"/>
  <c r="J15" i="2"/>
  <c r="J17" i="2" s="1"/>
  <c r="K15" i="2"/>
  <c r="K17" i="2" s="1"/>
  <c r="L15" i="2"/>
  <c r="M15" i="2"/>
  <c r="F11" i="2"/>
  <c r="G10" i="2"/>
  <c r="G11" i="2" s="1"/>
  <c r="H10" i="2"/>
  <c r="H11" i="2" s="1"/>
  <c r="I10" i="2"/>
  <c r="I11" i="2" s="1"/>
  <c r="J10" i="2"/>
  <c r="J11" i="2" s="1"/>
  <c r="K10" i="2"/>
  <c r="K11" i="2" s="1"/>
  <c r="L10" i="2"/>
  <c r="L11" i="2" s="1"/>
  <c r="M10" i="2"/>
  <c r="F10" i="2"/>
  <c r="F31" i="7" l="1"/>
  <c r="G30" i="7"/>
  <c r="I22" i="6"/>
  <c r="H29" i="6"/>
  <c r="H30" i="6" s="1"/>
  <c r="H31" i="6" s="1"/>
  <c r="I22" i="7"/>
  <c r="H29" i="7"/>
  <c r="I28" i="6"/>
  <c r="G34" i="22"/>
  <c r="G35" i="22" s="1"/>
  <c r="G38" i="22" s="1"/>
  <c r="G55" i="22" s="1"/>
  <c r="J8" i="22"/>
  <c r="I9" i="22"/>
  <c r="H13" i="22"/>
  <c r="H34" i="22"/>
  <c r="H35" i="22" s="1"/>
  <c r="H38" i="22" s="1"/>
  <c r="H55" i="22" s="1"/>
  <c r="I32" i="22"/>
  <c r="I46" i="22"/>
  <c r="I33" i="22" s="1"/>
  <c r="G16" i="22"/>
  <c r="G19" i="22" s="1"/>
  <c r="G52" i="22" s="1"/>
  <c r="S18" i="16"/>
  <c r="F18" i="16"/>
  <c r="F21" i="16" s="1"/>
  <c r="H15" i="16"/>
  <c r="I10" i="16"/>
  <c r="H11" i="16"/>
  <c r="H39" i="16" s="1"/>
  <c r="G54" i="16"/>
  <c r="G56" i="16"/>
  <c r="G55" i="16"/>
  <c r="T16" i="16"/>
  <c r="G31" i="16"/>
  <c r="G32" i="16"/>
  <c r="G30" i="16"/>
  <c r="G16" i="16" s="1"/>
  <c r="G17" i="16" s="1"/>
  <c r="H54" i="11"/>
  <c r="H55" i="11"/>
  <c r="H56" i="11"/>
  <c r="G30" i="11"/>
  <c r="G16" i="11" s="1"/>
  <c r="G17" i="11" s="1"/>
  <c r="T18" i="11" s="1"/>
  <c r="G32" i="11"/>
  <c r="G31" i="11"/>
  <c r="H15" i="11"/>
  <c r="U16" i="11" s="1"/>
  <c r="I10" i="11"/>
  <c r="F18" i="11"/>
  <c r="F21" i="11" s="1"/>
  <c r="L6" i="4"/>
  <c r="L7" i="4" s="1"/>
  <c r="L5" i="4"/>
  <c r="L11" i="5"/>
  <c r="K11" i="5"/>
  <c r="J11" i="5"/>
  <c r="I11" i="5"/>
  <c r="H11" i="5"/>
  <c r="P6" i="5"/>
  <c r="E10" i="5" s="1"/>
  <c r="G11" i="5"/>
  <c r="F11" i="5"/>
  <c r="E11" i="5"/>
  <c r="G13" i="5"/>
  <c r="H9" i="5"/>
  <c r="J6" i="4"/>
  <c r="J7" i="4" s="1"/>
  <c r="P4" i="4"/>
  <c r="H10" i="4" s="1"/>
  <c r="H6" i="4"/>
  <c r="H7" i="4" s="1"/>
  <c r="F6" i="4"/>
  <c r="F7" i="4" s="1"/>
  <c r="I6" i="4"/>
  <c r="I7" i="4" s="1"/>
  <c r="G6" i="4"/>
  <c r="G7" i="4" s="1"/>
  <c r="E6" i="4"/>
  <c r="E7" i="4" s="1"/>
  <c r="K6" i="4"/>
  <c r="K7" i="4" s="1"/>
  <c r="P16" i="3"/>
  <c r="E19" i="3" s="1"/>
  <c r="G20" i="3"/>
  <c r="F20" i="3"/>
  <c r="E20" i="3"/>
  <c r="L20" i="3"/>
  <c r="K20" i="3"/>
  <c r="H20" i="3"/>
  <c r="J20" i="3"/>
  <c r="I20" i="3"/>
  <c r="P15" i="2"/>
  <c r="P16" i="2" s="1"/>
  <c r="E19" i="2" s="1"/>
  <c r="G31" i="7" l="1"/>
  <c r="H30" i="7"/>
  <c r="J22" i="6"/>
  <c r="I29" i="6"/>
  <c r="I30" i="6" s="1"/>
  <c r="I31" i="6" s="1"/>
  <c r="J22" i="7"/>
  <c r="I29" i="7"/>
  <c r="I28" i="7"/>
  <c r="J28" i="6"/>
  <c r="J9" i="22"/>
  <c r="J32" i="22" s="1"/>
  <c r="K8" i="22"/>
  <c r="H27" i="22"/>
  <c r="H14" i="22" s="1"/>
  <c r="H15" i="22" s="1"/>
  <c r="I13" i="22"/>
  <c r="I27" i="22" s="1"/>
  <c r="I14" i="22" s="1"/>
  <c r="I15" i="22" s="1"/>
  <c r="I34" i="22"/>
  <c r="I35" i="22" s="1"/>
  <c r="I38" i="22" s="1"/>
  <c r="I55" i="22" s="1"/>
  <c r="G18" i="16"/>
  <c r="G21" i="16" s="1"/>
  <c r="T18" i="16"/>
  <c r="I11" i="16"/>
  <c r="I39" i="16" s="1"/>
  <c r="J10" i="16"/>
  <c r="I15" i="16"/>
  <c r="P21" i="16"/>
  <c r="H56" i="16"/>
  <c r="H55" i="16"/>
  <c r="H54" i="16"/>
  <c r="H31" i="16"/>
  <c r="U16" i="16"/>
  <c r="H32" i="16"/>
  <c r="H30" i="16"/>
  <c r="H16" i="16" s="1"/>
  <c r="H17" i="16" s="1"/>
  <c r="I11" i="11"/>
  <c r="I39" i="11" s="1"/>
  <c r="I15" i="11"/>
  <c r="G18" i="11"/>
  <c r="G21" i="11" s="1"/>
  <c r="H30" i="11"/>
  <c r="H16" i="11" s="1"/>
  <c r="H17" i="11" s="1"/>
  <c r="U18" i="11" s="1"/>
  <c r="H32" i="11"/>
  <c r="H31" i="11"/>
  <c r="J10" i="11"/>
  <c r="H13" i="5"/>
  <c r="I9" i="5"/>
  <c r="E12" i="5"/>
  <c r="F10" i="5"/>
  <c r="G10" i="4"/>
  <c r="P5" i="4"/>
  <c r="E9" i="4" s="1"/>
  <c r="K10" i="4"/>
  <c r="F10" i="4"/>
  <c r="E10" i="4"/>
  <c r="J10" i="4"/>
  <c r="I10" i="4"/>
  <c r="L10" i="4"/>
  <c r="F8" i="4"/>
  <c r="E12" i="4"/>
  <c r="E21" i="3"/>
  <c r="F19" i="3"/>
  <c r="E21" i="2"/>
  <c r="F19" i="2"/>
  <c r="H31" i="7" l="1"/>
  <c r="I30" i="7"/>
  <c r="K22" i="6"/>
  <c r="J29" i="6"/>
  <c r="J30" i="6" s="1"/>
  <c r="J31" i="6" s="1"/>
  <c r="K22" i="7"/>
  <c r="J29" i="7"/>
  <c r="J28" i="7"/>
  <c r="K28" i="6"/>
  <c r="J46" i="22"/>
  <c r="J33" i="22" s="1"/>
  <c r="J34" i="22" s="1"/>
  <c r="J35" i="22" s="1"/>
  <c r="J38" i="22" s="1"/>
  <c r="J55" i="22" s="1"/>
  <c r="L8" i="22"/>
  <c r="K9" i="22"/>
  <c r="K46" i="22" s="1"/>
  <c r="K33" i="22" s="1"/>
  <c r="I16" i="22"/>
  <c r="I19" i="22" s="1"/>
  <c r="I52" i="22" s="1"/>
  <c r="J13" i="22"/>
  <c r="J27" i="22" s="1"/>
  <c r="J14" i="22" s="1"/>
  <c r="J15" i="22" s="1"/>
  <c r="H16" i="22"/>
  <c r="H19" i="22" s="1"/>
  <c r="H52" i="22" s="1"/>
  <c r="I30" i="16"/>
  <c r="I32" i="16"/>
  <c r="I31" i="16"/>
  <c r="J11" i="16"/>
  <c r="J39" i="16" s="1"/>
  <c r="K10" i="16"/>
  <c r="J15" i="16"/>
  <c r="H18" i="16"/>
  <c r="H21" i="16" s="1"/>
  <c r="U18" i="16"/>
  <c r="I55" i="16"/>
  <c r="I56" i="16"/>
  <c r="I54" i="16"/>
  <c r="I40" i="16" s="1"/>
  <c r="I41" i="16" s="1"/>
  <c r="I42" i="16" s="1"/>
  <c r="I45" i="16" s="1"/>
  <c r="I54" i="11"/>
  <c r="I55" i="11"/>
  <c r="I56" i="11"/>
  <c r="J11" i="11"/>
  <c r="J39" i="11" s="1"/>
  <c r="J15" i="11"/>
  <c r="H18" i="11"/>
  <c r="H21" i="11" s="1"/>
  <c r="K10" i="11"/>
  <c r="I32" i="11"/>
  <c r="I31" i="11"/>
  <c r="I30" i="11"/>
  <c r="F12" i="5"/>
  <c r="G10" i="5"/>
  <c r="I13" i="5"/>
  <c r="J9" i="5"/>
  <c r="F9" i="4"/>
  <c r="F11" i="4" s="1"/>
  <c r="E11" i="4"/>
  <c r="F12" i="4"/>
  <c r="G8" i="4"/>
  <c r="F21" i="3"/>
  <c r="G19" i="3"/>
  <c r="G19" i="2"/>
  <c r="F21" i="2"/>
  <c r="I31" i="7" l="1"/>
  <c r="J30" i="7"/>
  <c r="L22" i="6"/>
  <c r="K29" i="6"/>
  <c r="K30" i="6" s="1"/>
  <c r="K31" i="6" s="1"/>
  <c r="L22" i="7"/>
  <c r="K29" i="7"/>
  <c r="K28" i="7"/>
  <c r="L28" i="6"/>
  <c r="K32" i="22"/>
  <c r="M8" i="22"/>
  <c r="L9" i="22"/>
  <c r="L32" i="22" s="1"/>
  <c r="J16" i="22"/>
  <c r="J19" i="22" s="1"/>
  <c r="J52" i="22" s="1"/>
  <c r="K34" i="22"/>
  <c r="K35" i="22" s="1"/>
  <c r="K38" i="22" s="1"/>
  <c r="K55" i="22" s="1"/>
  <c r="K13" i="22"/>
  <c r="K27" i="22" s="1"/>
  <c r="K14" i="22" s="1"/>
  <c r="K15" i="22" s="1"/>
  <c r="L46" i="22"/>
  <c r="L33" i="22" s="1"/>
  <c r="J32" i="16"/>
  <c r="J31" i="16"/>
  <c r="J30" i="16"/>
  <c r="K11" i="16"/>
  <c r="K39" i="16" s="1"/>
  <c r="K15" i="16"/>
  <c r="L10" i="16"/>
  <c r="J54" i="16"/>
  <c r="J40" i="16" s="1"/>
  <c r="J41" i="16" s="1"/>
  <c r="J42" i="16" s="1"/>
  <c r="J45" i="16" s="1"/>
  <c r="J56" i="16"/>
  <c r="J55" i="16"/>
  <c r="P22" i="16"/>
  <c r="P23" i="16" s="1"/>
  <c r="I40" i="11"/>
  <c r="I41" i="11" s="1"/>
  <c r="I42" i="11" s="1"/>
  <c r="I45" i="11" s="1"/>
  <c r="J54" i="11"/>
  <c r="J40" i="11" s="1"/>
  <c r="J41" i="11" s="1"/>
  <c r="J42" i="11" s="1"/>
  <c r="J45" i="11" s="1"/>
  <c r="J55" i="11"/>
  <c r="J56" i="11"/>
  <c r="K11" i="11"/>
  <c r="K39" i="11" s="1"/>
  <c r="K15" i="11"/>
  <c r="J32" i="11"/>
  <c r="J31" i="11"/>
  <c r="J30" i="11"/>
  <c r="L10" i="11"/>
  <c r="J13" i="5"/>
  <c r="K9" i="5"/>
  <c r="G12" i="5"/>
  <c r="H10" i="5"/>
  <c r="G9" i="4"/>
  <c r="G11" i="4" s="1"/>
  <c r="G12" i="4"/>
  <c r="H8" i="4"/>
  <c r="G21" i="3"/>
  <c r="H19" i="3"/>
  <c r="H19" i="2"/>
  <c r="G21" i="2"/>
  <c r="J31" i="7" l="1"/>
  <c r="K30" i="7"/>
  <c r="M22" i="6"/>
  <c r="L29" i="6"/>
  <c r="L30" i="6" s="1"/>
  <c r="L31" i="6" s="1"/>
  <c r="M22" i="7"/>
  <c r="L29" i="7"/>
  <c r="L28" i="7"/>
  <c r="M28" i="6"/>
  <c r="C38" i="6" s="1"/>
  <c r="N8" i="22"/>
  <c r="M9" i="22"/>
  <c r="M46" i="22" s="1"/>
  <c r="M33" i="22" s="1"/>
  <c r="K16" i="22"/>
  <c r="K19" i="22" s="1"/>
  <c r="K52" i="22" s="1"/>
  <c r="L13" i="22"/>
  <c r="L27" i="22" s="1"/>
  <c r="L14" i="22" s="1"/>
  <c r="L15" i="22" s="1"/>
  <c r="M13" i="22"/>
  <c r="L34" i="22"/>
  <c r="L35" i="22" s="1"/>
  <c r="L38" i="22" s="1"/>
  <c r="L55" i="22" s="1"/>
  <c r="M10" i="16"/>
  <c r="L15" i="16"/>
  <c r="L11" i="16"/>
  <c r="L39" i="16" s="1"/>
  <c r="K56" i="16"/>
  <c r="K55" i="16"/>
  <c r="K54" i="16"/>
  <c r="K40" i="16" s="1"/>
  <c r="K41" i="16" s="1"/>
  <c r="K42" i="16" s="1"/>
  <c r="K45" i="16" s="1"/>
  <c r="K32" i="16"/>
  <c r="K31" i="16"/>
  <c r="K30" i="16"/>
  <c r="K54" i="11"/>
  <c r="K40" i="11" s="1"/>
  <c r="K41" i="11" s="1"/>
  <c r="K42" i="11" s="1"/>
  <c r="K45" i="11" s="1"/>
  <c r="K55" i="11"/>
  <c r="K56" i="11"/>
  <c r="L11" i="11"/>
  <c r="L39" i="11" s="1"/>
  <c r="L15" i="11"/>
  <c r="K32" i="11"/>
  <c r="K31" i="11"/>
  <c r="K30" i="11"/>
  <c r="M10" i="11"/>
  <c r="I10" i="5"/>
  <c r="H12" i="5"/>
  <c r="K13" i="5"/>
  <c r="L9" i="5"/>
  <c r="L13" i="5" s="1"/>
  <c r="H9" i="4"/>
  <c r="H11" i="4" s="1"/>
  <c r="I8" i="4"/>
  <c r="H12" i="4"/>
  <c r="H21" i="3"/>
  <c r="I19" i="3"/>
  <c r="H21" i="2"/>
  <c r="I19" i="2"/>
  <c r="K31" i="7" l="1"/>
  <c r="L30" i="7"/>
  <c r="M29" i="6"/>
  <c r="M30" i="6" s="1"/>
  <c r="M31" i="6" s="1"/>
  <c r="M29" i="7"/>
  <c r="M28" i="7"/>
  <c r="C39" i="6"/>
  <c r="C40" i="6" s="1"/>
  <c r="M32" i="22"/>
  <c r="E36" i="22" s="1"/>
  <c r="O8" i="22"/>
  <c r="N9" i="22"/>
  <c r="M34" i="22"/>
  <c r="M35" i="22" s="1"/>
  <c r="M27" i="22"/>
  <c r="M14" i="22" s="1"/>
  <c r="M15" i="22" s="1"/>
  <c r="E17" i="22"/>
  <c r="L16" i="22"/>
  <c r="L19" i="22" s="1"/>
  <c r="L52" i="22" s="1"/>
  <c r="L32" i="16"/>
  <c r="L31" i="16"/>
  <c r="L30" i="16"/>
  <c r="M15" i="16"/>
  <c r="M11" i="16"/>
  <c r="M39" i="16" s="1"/>
  <c r="L56" i="16"/>
  <c r="L55" i="16"/>
  <c r="L54" i="16"/>
  <c r="L40" i="16" s="1"/>
  <c r="L41" i="16" s="1"/>
  <c r="L42" i="16" s="1"/>
  <c r="L45" i="16" s="1"/>
  <c r="L54" i="11"/>
  <c r="L40" i="11" s="1"/>
  <c r="L41" i="11" s="1"/>
  <c r="L42" i="11" s="1"/>
  <c r="L45" i="11" s="1"/>
  <c r="L55" i="11"/>
  <c r="L56" i="11"/>
  <c r="M11" i="11"/>
  <c r="M39" i="11" s="1"/>
  <c r="C49" i="11" s="1"/>
  <c r="C50" i="11" s="1"/>
  <c r="M15" i="11"/>
  <c r="L31" i="11"/>
  <c r="L30" i="11"/>
  <c r="L32" i="11"/>
  <c r="J10" i="5"/>
  <c r="I12" i="5"/>
  <c r="I9" i="4"/>
  <c r="I11" i="4" s="1"/>
  <c r="J8" i="4"/>
  <c r="I12" i="4"/>
  <c r="I21" i="3"/>
  <c r="J19" i="3"/>
  <c r="I21" i="2"/>
  <c r="J19" i="2"/>
  <c r="L31" i="7" l="1"/>
  <c r="M30" i="7"/>
  <c r="C38" i="7"/>
  <c r="C39" i="7" s="1"/>
  <c r="G33" i="6"/>
  <c r="G34" i="6" s="1"/>
  <c r="E32" i="6"/>
  <c r="F33" i="6"/>
  <c r="F34" i="6" s="1"/>
  <c r="D32" i="6"/>
  <c r="E33" i="6"/>
  <c r="E34" i="6" s="1"/>
  <c r="D33" i="6"/>
  <c r="D34" i="6" s="1"/>
  <c r="D36" i="6" s="1"/>
  <c r="M32" i="6"/>
  <c r="I32" i="6"/>
  <c r="F32" i="6"/>
  <c r="L32" i="6"/>
  <c r="M33" i="6"/>
  <c r="M34" i="6" s="1"/>
  <c r="K32" i="6"/>
  <c r="L33" i="6"/>
  <c r="L34" i="6" s="1"/>
  <c r="L36" i="6" s="1"/>
  <c r="J32" i="6"/>
  <c r="K33" i="6"/>
  <c r="K34" i="6" s="1"/>
  <c r="H33" i="6"/>
  <c r="H34" i="6" s="1"/>
  <c r="J33" i="6"/>
  <c r="J34" i="6" s="1"/>
  <c r="H32" i="6"/>
  <c r="I33" i="6"/>
  <c r="I34" i="6" s="1"/>
  <c r="G32" i="6"/>
  <c r="F36" i="22"/>
  <c r="J36" i="22"/>
  <c r="M36" i="22"/>
  <c r="K36" i="22"/>
  <c r="G36" i="22"/>
  <c r="L36" i="22"/>
  <c r="I36" i="22"/>
  <c r="N46" i="22"/>
  <c r="N33" i="22" s="1"/>
  <c r="N32" i="22"/>
  <c r="H36" i="22"/>
  <c r="P8" i="22"/>
  <c r="O9" i="22"/>
  <c r="I17" i="22"/>
  <c r="C23" i="22"/>
  <c r="E18" i="22" s="1"/>
  <c r="H17" i="22"/>
  <c r="G17" i="22"/>
  <c r="F17" i="22"/>
  <c r="K17" i="22"/>
  <c r="M17" i="22"/>
  <c r="J17" i="22"/>
  <c r="L17" i="22"/>
  <c r="M16" i="22"/>
  <c r="F37" i="22"/>
  <c r="F39" i="22" s="1"/>
  <c r="F56" i="22" s="1"/>
  <c r="K37" i="22"/>
  <c r="K39" i="22" s="1"/>
  <c r="K56" i="22" s="1"/>
  <c r="J37" i="22"/>
  <c r="J39" i="22" s="1"/>
  <c r="J56" i="22" s="1"/>
  <c r="G37" i="22"/>
  <c r="G39" i="22" s="1"/>
  <c r="G56" i="22" s="1"/>
  <c r="I37" i="22"/>
  <c r="I39" i="22" s="1"/>
  <c r="I56" i="22" s="1"/>
  <c r="M56" i="16"/>
  <c r="M55" i="16"/>
  <c r="M54" i="16"/>
  <c r="M40" i="16" s="1"/>
  <c r="M41" i="16" s="1"/>
  <c r="M42" i="16" s="1"/>
  <c r="M45" i="16" s="1"/>
  <c r="C49" i="16"/>
  <c r="C50" i="16" s="1"/>
  <c r="M31" i="16"/>
  <c r="M30" i="16"/>
  <c r="M32" i="16"/>
  <c r="C25" i="16"/>
  <c r="C26" i="16" s="1"/>
  <c r="M54" i="11"/>
  <c r="M40" i="11" s="1"/>
  <c r="M41" i="11" s="1"/>
  <c r="M42" i="11" s="1"/>
  <c r="M45" i="11" s="1"/>
  <c r="M56" i="11"/>
  <c r="M55" i="11"/>
  <c r="Y17" i="11"/>
  <c r="Z17" i="11"/>
  <c r="W19" i="11"/>
  <c r="X19" i="11"/>
  <c r="X17" i="11"/>
  <c r="V19" i="11"/>
  <c r="V17" i="11"/>
  <c r="Y19" i="11"/>
  <c r="W17" i="11"/>
  <c r="Z19" i="11"/>
  <c r="R17" i="11"/>
  <c r="S17" i="11"/>
  <c r="R19" i="11"/>
  <c r="T17" i="11"/>
  <c r="S19" i="11"/>
  <c r="U17" i="11"/>
  <c r="T19" i="11"/>
  <c r="U19" i="11"/>
  <c r="H20" i="11"/>
  <c r="H22" i="11" s="1"/>
  <c r="H23" i="11" s="1"/>
  <c r="E20" i="11"/>
  <c r="E22" i="11" s="1"/>
  <c r="E23" i="11" s="1"/>
  <c r="G20" i="11"/>
  <c r="G22" i="11" s="1"/>
  <c r="G23" i="11" s="1"/>
  <c r="F20" i="11"/>
  <c r="F22" i="11" s="1"/>
  <c r="F23" i="11" s="1"/>
  <c r="M31" i="11"/>
  <c r="M30" i="11"/>
  <c r="M32" i="11"/>
  <c r="K10" i="5"/>
  <c r="J12" i="5"/>
  <c r="J9" i="4"/>
  <c r="J11" i="4" s="1"/>
  <c r="K8" i="4"/>
  <c r="J12" i="4"/>
  <c r="J21" i="3"/>
  <c r="K19" i="3"/>
  <c r="K19" i="2"/>
  <c r="J21" i="2"/>
  <c r="M31" i="7" l="1"/>
  <c r="G36" i="6"/>
  <c r="F36" i="6"/>
  <c r="M36" i="6"/>
  <c r="E36" i="6"/>
  <c r="K36" i="6"/>
  <c r="M32" i="7"/>
  <c r="M35" i="7" s="1"/>
  <c r="L33" i="7"/>
  <c r="L34" i="7" s="1"/>
  <c r="M33" i="7"/>
  <c r="M34" i="7" s="1"/>
  <c r="K33" i="7"/>
  <c r="K34" i="7" s="1"/>
  <c r="G33" i="7"/>
  <c r="G34" i="7" s="1"/>
  <c r="E33" i="7"/>
  <c r="E34" i="7" s="1"/>
  <c r="H33" i="7"/>
  <c r="H34" i="7" s="1"/>
  <c r="I33" i="7"/>
  <c r="I34" i="7" s="1"/>
  <c r="J33" i="7"/>
  <c r="J34" i="7" s="1"/>
  <c r="J32" i="7"/>
  <c r="J35" i="7" s="1"/>
  <c r="I32" i="7"/>
  <c r="I35" i="7" s="1"/>
  <c r="I36" i="6"/>
  <c r="J36" i="6"/>
  <c r="H36" i="6"/>
  <c r="D32" i="7"/>
  <c r="C40" i="7"/>
  <c r="E32" i="7"/>
  <c r="E35" i="7" s="1"/>
  <c r="L32" i="7"/>
  <c r="L35" i="7" s="1"/>
  <c r="K32" i="7"/>
  <c r="K35" i="7" s="1"/>
  <c r="F33" i="7"/>
  <c r="F34" i="7" s="1"/>
  <c r="F32" i="7"/>
  <c r="F35" i="7" s="1"/>
  <c r="D33" i="7"/>
  <c r="D34" i="7" s="1"/>
  <c r="D36" i="7" s="1"/>
  <c r="G32" i="7"/>
  <c r="G35" i="7" s="1"/>
  <c r="H32" i="7"/>
  <c r="H35" i="7" s="1"/>
  <c r="M37" i="22"/>
  <c r="N37" i="22"/>
  <c r="O37" i="22"/>
  <c r="P37" i="22"/>
  <c r="Q37" i="22"/>
  <c r="R37" i="22"/>
  <c r="L37" i="22"/>
  <c r="L39" i="22" s="1"/>
  <c r="L56" i="22" s="1"/>
  <c r="H37" i="22"/>
  <c r="H39" i="22" s="1"/>
  <c r="H56" i="22" s="1"/>
  <c r="E37" i="22"/>
  <c r="E39" i="22" s="1"/>
  <c r="E56" i="22" s="1"/>
  <c r="O46" i="22"/>
  <c r="O33" i="22" s="1"/>
  <c r="O32" i="22"/>
  <c r="Q8" i="22"/>
  <c r="P9" i="22"/>
  <c r="H18" i="22"/>
  <c r="H20" i="22" s="1"/>
  <c r="H53" i="22" s="1"/>
  <c r="G18" i="22"/>
  <c r="G20" i="22" s="1"/>
  <c r="G53" i="22" s="1"/>
  <c r="G58" i="22" s="1"/>
  <c r="F18" i="22"/>
  <c r="F20" i="22" s="1"/>
  <c r="F53" i="22" s="1"/>
  <c r="F58" i="22" s="1"/>
  <c r="I18" i="22"/>
  <c r="I20" i="22" s="1"/>
  <c r="I53" i="22" s="1"/>
  <c r="I58" i="22" s="1"/>
  <c r="M18" i="22"/>
  <c r="E20" i="22"/>
  <c r="E53" i="22" s="1"/>
  <c r="L18" i="22"/>
  <c r="L20" i="22" s="1"/>
  <c r="L53" i="22" s="1"/>
  <c r="K18" i="22"/>
  <c r="K20" i="22" s="1"/>
  <c r="K53" i="22" s="1"/>
  <c r="K58" i="22" s="1"/>
  <c r="J18" i="22"/>
  <c r="J20" i="22" s="1"/>
  <c r="J53" i="22" s="1"/>
  <c r="J58" i="22" s="1"/>
  <c r="M43" i="16"/>
  <c r="L43" i="16"/>
  <c r="K43" i="16"/>
  <c r="M44" i="16"/>
  <c r="M46" i="16" s="1"/>
  <c r="M47" i="16" s="1"/>
  <c r="J43" i="16"/>
  <c r="L44" i="16"/>
  <c r="L46" i="16" s="1"/>
  <c r="L47" i="16" s="1"/>
  <c r="I43" i="16"/>
  <c r="J44" i="16"/>
  <c r="J46" i="16" s="1"/>
  <c r="J47" i="16" s="1"/>
  <c r="I44" i="16"/>
  <c r="I46" i="16" s="1"/>
  <c r="I47" i="16" s="1"/>
  <c r="K44" i="16"/>
  <c r="K46" i="16" s="1"/>
  <c r="K47" i="16" s="1"/>
  <c r="E20" i="16"/>
  <c r="E22" i="16" s="1"/>
  <c r="E23" i="16" s="1"/>
  <c r="X17" i="16"/>
  <c r="V19" i="16"/>
  <c r="Z19" i="16"/>
  <c r="W17" i="16"/>
  <c r="Y19" i="16"/>
  <c r="H19" i="16"/>
  <c r="V17" i="16"/>
  <c r="E19" i="16"/>
  <c r="X19" i="16"/>
  <c r="G19" i="16"/>
  <c r="W19" i="16"/>
  <c r="F19" i="16"/>
  <c r="G20" i="16"/>
  <c r="G22" i="16" s="1"/>
  <c r="G23" i="16" s="1"/>
  <c r="Z17" i="16"/>
  <c r="H20" i="16"/>
  <c r="H22" i="16" s="1"/>
  <c r="H23" i="16" s="1"/>
  <c r="F20" i="16"/>
  <c r="F22" i="16" s="1"/>
  <c r="F23" i="16" s="1"/>
  <c r="Y17" i="16"/>
  <c r="R17" i="16"/>
  <c r="R19" i="16"/>
  <c r="S17" i="16"/>
  <c r="S19" i="16"/>
  <c r="T17" i="16"/>
  <c r="U17" i="16"/>
  <c r="T19" i="16"/>
  <c r="U19" i="16"/>
  <c r="P24" i="11"/>
  <c r="P25" i="11"/>
  <c r="L10" i="5"/>
  <c r="L12" i="5" s="1"/>
  <c r="K12" i="5"/>
  <c r="K9" i="4"/>
  <c r="K11" i="4" s="1"/>
  <c r="L8" i="4"/>
  <c r="L12" i="4" s="1"/>
  <c r="K12" i="4"/>
  <c r="K21" i="3"/>
  <c r="L19" i="3"/>
  <c r="L21" i="3" s="1"/>
  <c r="L19" i="2"/>
  <c r="L21" i="2" s="1"/>
  <c r="K21" i="2"/>
  <c r="E36" i="7" l="1"/>
  <c r="F36" i="7"/>
  <c r="G36" i="7"/>
  <c r="H36" i="7"/>
  <c r="I36" i="7"/>
  <c r="J36" i="7"/>
  <c r="K36" i="7"/>
  <c r="L36" i="7"/>
  <c r="M36" i="7"/>
  <c r="H58" i="22"/>
  <c r="L58" i="22"/>
  <c r="E58" i="22"/>
  <c r="P32" i="22"/>
  <c r="P46" i="22"/>
  <c r="P33" i="22" s="1"/>
  <c r="R8" i="22"/>
  <c r="R9" i="22" s="1"/>
  <c r="Q9" i="22"/>
  <c r="P26" i="11"/>
  <c r="P25" i="16"/>
  <c r="P24" i="16"/>
  <c r="K43" i="11"/>
  <c r="I43" i="11"/>
  <c r="L43" i="11"/>
  <c r="M43" i="11"/>
  <c r="J43" i="11"/>
  <c r="I44" i="11"/>
  <c r="I46" i="11" s="1"/>
  <c r="I47" i="11" s="1"/>
  <c r="L44" i="11"/>
  <c r="L46" i="11" s="1"/>
  <c r="L47" i="11" s="1"/>
  <c r="M44" i="11"/>
  <c r="M46" i="11" s="1"/>
  <c r="M47" i="11" s="1"/>
  <c r="J44" i="11"/>
  <c r="J46" i="11" s="1"/>
  <c r="J47" i="11" s="1"/>
  <c r="K44" i="11"/>
  <c r="K46" i="11" s="1"/>
  <c r="K47" i="11" s="1"/>
  <c r="L9" i="4"/>
  <c r="L11" i="4" s="1"/>
  <c r="Q46" i="22" l="1"/>
  <c r="Q33" i="22" s="1"/>
  <c r="Q32" i="22"/>
  <c r="R46" i="22"/>
  <c r="R33" i="22" s="1"/>
  <c r="R32" i="22"/>
  <c r="P26" i="16"/>
</calcChain>
</file>

<file path=xl/comments1.xml><?xml version="1.0" encoding="utf-8"?>
<comments xmlns="http://schemas.openxmlformats.org/spreadsheetml/2006/main" xmlns:mc="http://schemas.openxmlformats.org/markup-compatibility/2006" xmlns:xr="http://schemas.microsoft.com/office/spreadsheetml/2014/revision" mc:Ignorable="xr">
  <authors>
    <author>Henrique Luz</author>
  </authors>
  <commentList>
    <comment ref="B17" authorId="0" shapeId="0" xr:uid="{E645DBF2-9789-47DE-ABEC-D845128C3F51}">
      <text>
        <r>
          <rPr>
            <b/>
            <sz val="9"/>
            <color indexed="81"/>
            <rFont val="Tahoma"/>
            <charset val="1"/>
          </rPr>
          <t>Henrique Luz:</t>
        </r>
        <r>
          <rPr>
            <sz val="9"/>
            <color indexed="81"/>
            <rFont val="Tahoma"/>
            <charset val="1"/>
          </rPr>
          <t xml:space="preserve">
1st implementation year refers to the first year a company starts to implement its scope 3 near-term emissions reduction target. It usually coincides with the year in which a company sets the target or the following year.</t>
        </r>
      </text>
    </comment>
    <comment ref="B29" authorId="0" shapeId="0" xr:uid="{DEEBB16D-4054-4BD0-8116-1678638FA90F}">
      <text>
        <r>
          <rPr>
            <b/>
            <sz val="9"/>
            <color indexed="81"/>
            <rFont val="Tahoma"/>
            <charset val="1"/>
          </rPr>
          <t>Henrique Luz:</t>
        </r>
        <r>
          <rPr>
            <sz val="9"/>
            <color indexed="81"/>
            <rFont val="Tahoma"/>
            <charset val="1"/>
          </rPr>
          <t xml:space="preserve">
Considers only the implementation period</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Henrique Luz</author>
  </authors>
  <commentList>
    <comment ref="B17" authorId="0" shapeId="0" xr:uid="{DEAE80EB-4324-4900-9C7E-329746FB7634}">
      <text>
        <r>
          <rPr>
            <b/>
            <sz val="9"/>
            <color indexed="81"/>
            <rFont val="Tahoma"/>
            <charset val="1"/>
          </rPr>
          <t>Henrique Luz:</t>
        </r>
        <r>
          <rPr>
            <sz val="9"/>
            <color indexed="81"/>
            <rFont val="Tahoma"/>
            <charset val="1"/>
          </rPr>
          <t xml:space="preserve">
1st implementation year refers to the first year a company starts to implement its scope 3 near-term emissions reduction target. It usually coincides with the year in which a company sets the target or the following year.</t>
        </r>
      </text>
    </comment>
    <comment ref="B29" authorId="0" shapeId="0" xr:uid="{4607449C-5438-41D1-87B6-A9441D21AFCC}">
      <text>
        <r>
          <rPr>
            <b/>
            <sz val="9"/>
            <color indexed="81"/>
            <rFont val="Tahoma"/>
            <charset val="1"/>
          </rPr>
          <t>Henrique Luz:</t>
        </r>
        <r>
          <rPr>
            <sz val="9"/>
            <color indexed="81"/>
            <rFont val="Tahoma"/>
            <charset val="1"/>
          </rPr>
          <t xml:space="preserve">
Considers only the implementation period</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tc={13CD12C2-5060-45BD-9969-D455164829CF}</author>
  </authors>
  <commentList>
    <comment ref="G2" authorId="0" shapeId="0" xr:uid="{13CD12C2-5060-45BD-9969-D455164829CF}">
      <text>
        <t>[Threaded comment]
Your version of Excel allows you to read this threaded comment; however, any edits to it will get removed if the file is opened in a newer version of Excel. Learn more: https://go.microsoft.com/fwlink/?linkid=870924
Comment:
    Changed base year to 2020.</t>
      </text>
    </comment>
  </commentList>
</comments>
</file>

<file path=xl/metadata.xml><?xml version="1.0" encoding="utf-8"?>
<metadata xmlns="http://schemas.openxmlformats.org/spreadsheetml/2006/main" xmlns:xlrd="http://schemas.microsoft.com/office/spreadsheetml/2017/richdata">
  <metadataTypes count="1">
    <metadataType name="XLRICHVALUE" minSupportedVersion="120000" copy="1" pasteAll="1" pasteValues="1" merge="1" splitFirst="1" rowColShift="1" clearFormats="1" clearComments="1" assign="1" coerce="1"/>
  </metadataTypes>
  <futureMetadata name="XLRICHVALUE" count="1">
    <bk>
      <extLst>
        <ext uri="{3e2802c4-a4d2-4d8b-9148-e3be6c30e623}">
          <xlrd:rvb i="0"/>
        </ext>
      </extLst>
    </bk>
  </futureMetadata>
  <valueMetadata count="1">
    <bk>
      <rc t="1" v="0"/>
    </bk>
  </valueMetadata>
</metadata>
</file>

<file path=xl/sharedStrings.xml><?xml version="1.0" encoding="utf-8"?>
<sst xmlns="http://schemas.openxmlformats.org/spreadsheetml/2006/main" count="310" uniqueCount="114">
  <si>
    <t>From original</t>
  </si>
  <si>
    <t>Year</t>
  </si>
  <si>
    <t>Trajectory</t>
  </si>
  <si>
    <t>Budget</t>
  </si>
  <si>
    <t>Emissions</t>
  </si>
  <si>
    <t>Carbon buffer</t>
  </si>
  <si>
    <t>Emissions gap</t>
  </si>
  <si>
    <t>Remaining carbon buffer</t>
  </si>
  <si>
    <t>Remaining carbon budget * 0.24</t>
  </si>
  <si>
    <t>Can make the claim?</t>
  </si>
  <si>
    <t>Emissions gap (absolute)</t>
  </si>
  <si>
    <t>Emissions gap (%)</t>
  </si>
  <si>
    <t>Emissions gap limit</t>
  </si>
  <si>
    <t>Can make the claim? [line 21]</t>
  </si>
  <si>
    <t>Can make the claim? [line 19 - banking]</t>
  </si>
  <si>
    <t>Target</t>
  </si>
  <si>
    <t>User Guide:</t>
  </si>
  <si>
    <r>
      <t>The Voluntary Carbon Markets Integrity Initiative’s (VCMI) Scope 3 Action Code of Practice ("the Code") provides companies with a practical tool to close their current scope 3 emissions gap every year. It requires time-limited retirement of high-quality carbon credits to close a gap in scope 3 emissions reductions, enabling climate action now while barriers to progress in reducing scope 3 emissions are addressed.
Companies shall follow a four-step process to align with the Scope 3 Action Code of Practice which includes guidance on how to calculate the scope 3 emissions gap.
The Annexes from the Code also provide examples and graphs to add clarity for companies. In addition to this VCMI is providing workable examples through this spreadsheet to support companies in performing calculations needed to align with the Code’s requirements. 
This spreadsheet is designed to provide an example of the calculations</t>
    </r>
    <r>
      <rPr>
        <vertAlign val="superscript"/>
        <sz val="11"/>
        <color rgb="FF000000"/>
        <rFont val="Aptos Narrow"/>
        <scheme val="minor"/>
      </rPr>
      <t>1</t>
    </r>
    <r>
      <rPr>
        <sz val="11"/>
        <color rgb="FF000000"/>
        <rFont val="Aptos Narrow"/>
        <scheme val="minor"/>
      </rPr>
      <t xml:space="preserve"> that companies need to perform over time to assess whether they align with the requirements of VCMI's Scope 3 Action Code of Practice in its Step 2 (Meet the Scope 3 Action
Code of Practice requirements).
Users can modify all input fields (marked in blue) to test various scenarios under which the company can be aligned, or not, with the Code. Users can also input their own company's data to evaluate the company's eligibility to align with Steps 2B-2E of the Carbon Budget Approach outlined in the Scope 3 Action Code of Practice, as well as to calculate the number of high-quality carbon credits that need to be retired.</t>
    </r>
  </si>
  <si>
    <t>Cell color codes:</t>
  </si>
  <si>
    <r>
      <t xml:space="preserve">Use cell to Input data </t>
    </r>
    <r>
      <rPr>
        <vertAlign val="superscript"/>
        <sz val="11"/>
        <color theme="1"/>
        <rFont val="Aptos Narrow"/>
        <family val="2"/>
        <scheme val="minor"/>
      </rPr>
      <t>2</t>
    </r>
  </si>
  <si>
    <t>Calculated data</t>
  </si>
  <si>
    <t>1 Equations numbers refers to the Scope 3 Action Code of Practice document</t>
  </si>
  <si>
    <t>2 Hypothetical data were inserted until end of period. Users can delete all numbers and use their own available data</t>
  </si>
  <si>
    <t>Case Description</t>
  </si>
  <si>
    <t xml:space="preserve">Company A has a science-aligned target of reducing 25% of its scope 3 emissions by 2030, in comparison to a 2020 base year. Company A's first implementation year is 2022.
</t>
  </si>
  <si>
    <t>(Reported emissions are inputed as they already have information until 2025)</t>
  </si>
  <si>
    <t>Parameters</t>
  </si>
  <si>
    <t>Guardrails</t>
  </si>
  <si>
    <t>%</t>
  </si>
  <si>
    <t>Scope 3 emissions budget gap</t>
  </si>
  <si>
    <t>of scope 3 emissions budget</t>
  </si>
  <si>
    <t>Annual emissions gap limit</t>
  </si>
  <si>
    <t>of scope 3 emissions budget gap</t>
  </si>
  <si>
    <t>Inputs</t>
  </si>
  <si>
    <t>Company science-aligned target</t>
  </si>
  <si>
    <t>Base Year</t>
  </si>
  <si>
    <r>
      <t>Base Year emissions (tCO</t>
    </r>
    <r>
      <rPr>
        <vertAlign val="subscript"/>
        <sz val="11"/>
        <color theme="1"/>
        <rFont val="Aptos Narrow"/>
        <family val="2"/>
        <scheme val="minor"/>
      </rPr>
      <t>2</t>
    </r>
    <r>
      <rPr>
        <sz val="11"/>
        <color theme="1"/>
        <rFont val="Aptos Narrow"/>
        <family val="2"/>
        <scheme val="minor"/>
      </rPr>
      <t>e)</t>
    </r>
  </si>
  <si>
    <r>
      <t>1</t>
    </r>
    <r>
      <rPr>
        <vertAlign val="superscript"/>
        <sz val="11"/>
        <color theme="1"/>
        <rFont val="Aptos Narrow"/>
        <family val="2"/>
        <scheme val="minor"/>
      </rPr>
      <t>st</t>
    </r>
    <r>
      <rPr>
        <sz val="11"/>
        <color theme="1"/>
        <rFont val="Aptos Narrow"/>
        <family val="2"/>
        <scheme val="minor"/>
      </rPr>
      <t xml:space="preserve"> Implementation year</t>
    </r>
  </si>
  <si>
    <t>Target Year</t>
  </si>
  <si>
    <t>Target Reduction</t>
  </si>
  <si>
    <t>Trajectory and Reported emissions</t>
  </si>
  <si>
    <r>
      <t>Trajectory emissions (tCO</t>
    </r>
    <r>
      <rPr>
        <vertAlign val="subscript"/>
        <sz val="11"/>
        <color theme="1"/>
        <rFont val="Aptos Narrow"/>
        <family val="2"/>
        <scheme val="minor"/>
      </rPr>
      <t>2</t>
    </r>
    <r>
      <rPr>
        <sz val="11"/>
        <color theme="1"/>
        <rFont val="Aptos Narrow"/>
        <family val="2"/>
        <scheme val="minor"/>
      </rPr>
      <t>e)</t>
    </r>
  </si>
  <si>
    <r>
      <t>Reported emissions (tCO</t>
    </r>
    <r>
      <rPr>
        <vertAlign val="subscript"/>
        <sz val="11"/>
        <color theme="1"/>
        <rFont val="Aptos Narrow"/>
        <family val="2"/>
        <scheme val="minor"/>
      </rPr>
      <t>2</t>
    </r>
    <r>
      <rPr>
        <sz val="11"/>
        <color theme="1"/>
        <rFont val="Aptos Narrow"/>
        <family val="2"/>
        <scheme val="minor"/>
      </rPr>
      <t>e)</t>
    </r>
  </si>
  <si>
    <t>Calculations</t>
  </si>
  <si>
    <r>
      <t>Emissions gap (tCO</t>
    </r>
    <r>
      <rPr>
        <vertAlign val="subscript"/>
        <sz val="11"/>
        <color theme="1"/>
        <rFont val="Aptos Narrow"/>
        <family val="2"/>
        <scheme val="minor"/>
      </rPr>
      <t>2</t>
    </r>
    <r>
      <rPr>
        <sz val="11"/>
        <color theme="1"/>
        <rFont val="Aptos Narrow"/>
        <family val="2"/>
        <scheme val="minor"/>
      </rPr>
      <t>e)</t>
    </r>
  </si>
  <si>
    <r>
      <t>Annual emissions gap limit (tCO</t>
    </r>
    <r>
      <rPr>
        <vertAlign val="subscript"/>
        <sz val="11"/>
        <color theme="1"/>
        <rFont val="Aptos Narrow"/>
        <family val="2"/>
        <scheme val="minor"/>
      </rPr>
      <t>2</t>
    </r>
    <r>
      <rPr>
        <sz val="11"/>
        <color theme="1"/>
        <rFont val="Aptos Narrow"/>
        <family val="2"/>
        <scheme val="minor"/>
      </rPr>
      <t>e)</t>
    </r>
  </si>
  <si>
    <r>
      <t>Scope 3 emissions budget gap - cumulative scope 3 emissions gap (tCO</t>
    </r>
    <r>
      <rPr>
        <vertAlign val="subscript"/>
        <sz val="11"/>
        <color theme="1"/>
        <rFont val="Aptos Narrow"/>
        <family val="2"/>
        <scheme val="minor"/>
      </rPr>
      <t>2</t>
    </r>
    <r>
      <rPr>
        <sz val="11"/>
        <color theme="1"/>
        <rFont val="Aptos Narrow"/>
        <family val="2"/>
        <scheme val="minor"/>
      </rPr>
      <t>e)</t>
    </r>
  </si>
  <si>
    <t>Guardrail: cumulative scope 3 emissions gap is equal to or less than 25% of scope 3 emissions budget? [Equation 7]</t>
  </si>
  <si>
    <t>Guardrail:scope 3 emissions gap is less than 40% of the scope 3 emissions budget gap? [Equation 8]</t>
  </si>
  <si>
    <t>Aligned with Scope 3 Action Code of Practice</t>
  </si>
  <si>
    <r>
      <t>Scope 3 emissions budget (tCO</t>
    </r>
    <r>
      <rPr>
        <b/>
        <vertAlign val="subscript"/>
        <sz val="11"/>
        <color theme="0"/>
        <rFont val="Aptos Narrow"/>
        <family val="2"/>
        <scheme val="minor"/>
      </rPr>
      <t>2</t>
    </r>
    <r>
      <rPr>
        <b/>
        <sz val="11"/>
        <color theme="0"/>
        <rFont val="Aptos Narrow"/>
        <family val="2"/>
        <scheme val="minor"/>
      </rPr>
      <t>e)</t>
    </r>
  </si>
  <si>
    <r>
      <t>Scope 3 emissions budget gap (tCO</t>
    </r>
    <r>
      <rPr>
        <b/>
        <vertAlign val="subscript"/>
        <sz val="11"/>
        <color theme="0"/>
        <rFont val="Aptos Narrow"/>
        <family val="2"/>
        <scheme val="minor"/>
      </rPr>
      <t>2</t>
    </r>
    <r>
      <rPr>
        <b/>
        <sz val="11"/>
        <color theme="0"/>
        <rFont val="Aptos Narrow"/>
        <family val="2"/>
        <scheme val="minor"/>
      </rPr>
      <t>e)</t>
    </r>
  </si>
  <si>
    <r>
      <t>Annual emissions gap limit (tCO</t>
    </r>
    <r>
      <rPr>
        <b/>
        <vertAlign val="subscript"/>
        <sz val="11"/>
        <color theme="0"/>
        <rFont val="Aptos Narrow"/>
        <family val="2"/>
        <scheme val="minor"/>
      </rPr>
      <t>2</t>
    </r>
    <r>
      <rPr>
        <b/>
        <sz val="11"/>
        <color theme="0"/>
        <rFont val="Aptos Narrow"/>
        <family val="2"/>
        <scheme val="minor"/>
      </rPr>
      <t>e)</t>
    </r>
  </si>
  <si>
    <t xml:space="preserve">Company B has a science-aligned target of reducing 52% of its scope 3 emissions intensity by 2030, in comparison to a 2020 base year. Company A's first implementation year is 2022.
</t>
  </si>
  <si>
    <r>
      <t>Base Year emissions intensity (tCO</t>
    </r>
    <r>
      <rPr>
        <vertAlign val="subscript"/>
        <sz val="11"/>
        <color theme="1"/>
        <rFont val="Aptos Narrow"/>
        <family val="2"/>
        <scheme val="minor"/>
      </rPr>
      <t>2</t>
    </r>
    <r>
      <rPr>
        <sz val="11"/>
        <color theme="1"/>
        <rFont val="Aptos Narrow"/>
        <family val="2"/>
        <scheme val="minor"/>
      </rPr>
      <t>e/[unit])</t>
    </r>
  </si>
  <si>
    <r>
      <t>Trajectory emissions (tCO</t>
    </r>
    <r>
      <rPr>
        <vertAlign val="subscript"/>
        <sz val="11"/>
        <color theme="1"/>
        <rFont val="Aptos Narrow"/>
        <family val="2"/>
        <scheme val="minor"/>
      </rPr>
      <t>2</t>
    </r>
    <r>
      <rPr>
        <sz val="11"/>
        <color theme="1"/>
        <rFont val="Aptos Narrow"/>
        <family val="2"/>
        <scheme val="minor"/>
      </rPr>
      <t>e/[unit])</t>
    </r>
  </si>
  <si>
    <r>
      <t>Reported emissions (tCO</t>
    </r>
    <r>
      <rPr>
        <vertAlign val="subscript"/>
        <sz val="11"/>
        <color theme="1"/>
        <rFont val="Aptos Narrow"/>
        <family val="2"/>
        <scheme val="minor"/>
      </rPr>
      <t>2</t>
    </r>
    <r>
      <rPr>
        <sz val="11"/>
        <color theme="1"/>
        <rFont val="Aptos Narrow"/>
        <family val="2"/>
        <scheme val="minor"/>
      </rPr>
      <t>e/[unit])</t>
    </r>
  </si>
  <si>
    <r>
      <t>Emissions gap (tCO</t>
    </r>
    <r>
      <rPr>
        <vertAlign val="subscript"/>
        <sz val="11"/>
        <color theme="1"/>
        <rFont val="Aptos Narrow"/>
        <family val="2"/>
        <scheme val="minor"/>
      </rPr>
      <t>2</t>
    </r>
    <r>
      <rPr>
        <sz val="11"/>
        <color theme="1"/>
        <rFont val="Aptos Narrow"/>
        <family val="2"/>
        <scheme val="minor"/>
      </rPr>
      <t>e/[unit])</t>
    </r>
  </si>
  <si>
    <r>
      <t>Annual emissions gap limit (tCO</t>
    </r>
    <r>
      <rPr>
        <vertAlign val="subscript"/>
        <sz val="11"/>
        <color theme="1"/>
        <rFont val="Aptos Narrow"/>
        <family val="2"/>
        <scheme val="minor"/>
      </rPr>
      <t>2</t>
    </r>
    <r>
      <rPr>
        <sz val="11"/>
        <color theme="1"/>
        <rFont val="Aptos Narrow"/>
        <family val="2"/>
        <scheme val="minor"/>
      </rPr>
      <t>e/[unit])</t>
    </r>
  </si>
  <si>
    <r>
      <t>Scope 3 emissions budget gap - cumulative scope 3 emissions gap (tCO</t>
    </r>
    <r>
      <rPr>
        <vertAlign val="subscript"/>
        <sz val="11"/>
        <color theme="1"/>
        <rFont val="Aptos Narrow"/>
        <family val="2"/>
        <scheme val="minor"/>
      </rPr>
      <t>2</t>
    </r>
    <r>
      <rPr>
        <sz val="11"/>
        <color theme="1"/>
        <rFont val="Aptos Narrow"/>
        <family val="2"/>
        <scheme val="minor"/>
      </rPr>
      <t>e/[unit])</t>
    </r>
  </si>
  <si>
    <t>Align with Scope 3 Action Code of Practice</t>
  </si>
  <si>
    <r>
      <t>Scope 3 emissions budget (tCO</t>
    </r>
    <r>
      <rPr>
        <b/>
        <vertAlign val="subscript"/>
        <sz val="11"/>
        <color theme="0"/>
        <rFont val="Aptos Narrow"/>
        <family val="2"/>
        <scheme val="minor"/>
      </rPr>
      <t>2</t>
    </r>
    <r>
      <rPr>
        <b/>
        <sz val="11"/>
        <color theme="0"/>
        <rFont val="Aptos Narrow"/>
        <family val="2"/>
        <scheme val="minor"/>
      </rPr>
      <t>e/[unit])</t>
    </r>
  </si>
  <si>
    <r>
      <t>Scope 3 emissions budget gap (tCO</t>
    </r>
    <r>
      <rPr>
        <b/>
        <vertAlign val="subscript"/>
        <sz val="11"/>
        <color theme="0"/>
        <rFont val="Aptos Narrow"/>
        <family val="2"/>
        <scheme val="minor"/>
      </rPr>
      <t>2</t>
    </r>
    <r>
      <rPr>
        <b/>
        <sz val="11"/>
        <color theme="0"/>
        <rFont val="Aptos Narrow"/>
        <family val="2"/>
        <scheme val="minor"/>
      </rPr>
      <t>e/[unit])</t>
    </r>
  </si>
  <si>
    <r>
      <t>Annual emissions gap limit (tCO</t>
    </r>
    <r>
      <rPr>
        <b/>
        <vertAlign val="subscript"/>
        <sz val="11"/>
        <color theme="0"/>
        <rFont val="Aptos Narrow"/>
        <family val="2"/>
        <scheme val="minor"/>
      </rPr>
      <t>2</t>
    </r>
    <r>
      <rPr>
        <b/>
        <sz val="11"/>
        <color theme="0"/>
        <rFont val="Aptos Narrow"/>
        <family val="2"/>
        <scheme val="minor"/>
      </rPr>
      <t>e/[unit])</t>
    </r>
  </si>
  <si>
    <t>of emissions gap budget</t>
  </si>
  <si>
    <t xml:space="preserve">Target 1: Company H commits to "reduce absolute FLAG emissions by 40% by 2030 compared to 2020 levels". FLAG emissions are 50% of Category 1 emissions.
</t>
  </si>
  <si>
    <t>Emissions gap budget</t>
  </si>
  <si>
    <t>of carbon budget</t>
  </si>
  <si>
    <t xml:space="preserve">Target 2: Company H also commits to "reduce absolute emissions from all purchased goods and services (Category 1) by 25% by 2035 compared to 2020 levels."
</t>
  </si>
  <si>
    <t>Overlap Type: FLAG emissions are a subset of Category 1 emissions, leading to partial overlap between the two targets.</t>
  </si>
  <si>
    <t>FLAG emissions</t>
  </si>
  <si>
    <t>Category 1 trajectory emissions</t>
  </si>
  <si>
    <t>Cat 1 - FLAG trajectory emissions</t>
  </si>
  <si>
    <t>FLAG emissions calculations</t>
  </si>
  <si>
    <t>Trajectory emissions</t>
  </si>
  <si>
    <t>Reported emissions</t>
  </si>
  <si>
    <t>Remaining emissions gap budget</t>
  </si>
  <si>
    <t>Guardrail: Annual emissions gap limit</t>
  </si>
  <si>
    <t>-</t>
  </si>
  <si>
    <t>Guardrail: Emissions gap budget</t>
  </si>
  <si>
    <t>Carbon budget</t>
  </si>
  <si>
    <t>Company A reported scope 3 claim emissions included in the target boundary - Category 1</t>
  </si>
  <si>
    <t>A1</t>
  </si>
  <si>
    <t>Cat 1 - FLAG calculations</t>
  </si>
  <si>
    <t>Making the Claim</t>
  </si>
  <si>
    <t>FLAG Emissions</t>
  </si>
  <si>
    <t>Category 1 - FLAG Emissions</t>
  </si>
  <si>
    <t>Overall</t>
  </si>
  <si>
    <t>Can make the Claim?</t>
  </si>
  <si>
    <t xml:space="preserve">Company A has a Science-aligned target of reducing 25% of its scope 3 emissions by 2030, in comparison to a 2020 base year. Company A's first Claim Year is 2022.
</t>
  </si>
  <si>
    <t>By 2026, the company conducts rebaselining, increasing its base year and reported emissions from previous years and intends to keep making the Scope 3 Claim for subsequent years.</t>
  </si>
  <si>
    <t>A1 represents a hypothetical trajectory with higher reported emissions and A3 represents a trajectory with lower reported emissions for both before and after re-baselining.</t>
  </si>
  <si>
    <t>Rebaselining</t>
  </si>
  <si>
    <t>base year emissions change</t>
  </si>
  <si>
    <t>Trajectory emissions before rebaselining</t>
  </si>
  <si>
    <t>Trajectory emissions after rebaselining</t>
  </si>
  <si>
    <t>Claim before Rebaselining (A1)</t>
  </si>
  <si>
    <t>Emission gap budget expenditure analysis</t>
  </si>
  <si>
    <t>Expected use of emissions gap budget</t>
  </si>
  <si>
    <t>Expected use of emissions gap budget (%)</t>
  </si>
  <si>
    <t>Observed use of emissions gap budget</t>
  </si>
  <si>
    <t>Observed use of emissions gap budget (%)</t>
  </si>
  <si>
    <t>Guardrail: Annual emissions limit</t>
  </si>
  <si>
    <t>Total expected</t>
  </si>
  <si>
    <t>Total observed</t>
  </si>
  <si>
    <t>to be deducted</t>
  </si>
  <si>
    <t>Total expected (%)</t>
  </si>
  <si>
    <t>Total observed (%)</t>
  </si>
  <si>
    <t>% to be deducted from rebaselined emissions gap budget</t>
  </si>
  <si>
    <t>Company A reported  scope 3 claim emissions included in the target boundary before rebaselining</t>
  </si>
  <si>
    <t>A2</t>
  </si>
  <si>
    <t>A3</t>
  </si>
  <si>
    <t>Claim after Rebaselining (A1)</t>
  </si>
  <si>
    <t>Emissions gap budget (Rebaselined)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</si>
</sst>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3" formatCode="_-* #,##0.00_-;\-* #,##0.00_-;_-* &quot;-&quot;??_-;_-@_-"/>
    <numFmt numFmtId="164" formatCode="0.0"/>
    <numFmt numFmtId="165" formatCode="0.0%"/>
  </numFmts>
  <fonts count="18" x14ac:knownFonts="1">
    <font>
      <sz val="11"/>
      <color theme="1"/>
      <name val="Aptos Narrow"/>
      <family val="2"/>
      <scheme val="minor"/>
    </font>
    <font>
      <sz val="11"/>
      <color theme="1"/>
      <name val="Aptos Narrow"/>
      <family val="2"/>
      <scheme val="minor"/>
    </font>
    <font>
      <sz val="18"/>
      <name val="Arial"/>
    </font>
    <font>
      <sz val="7"/>
      <color rgb="FF00B0F0"/>
      <name val="Aptos"/>
    </font>
    <font>
      <sz val="7"/>
      <color rgb="FFE71C57"/>
      <name val="Aptos"/>
    </font>
    <font>
      <b/>
      <sz val="11"/>
      <color theme="1"/>
      <name val="Aptos Narrow"/>
      <family val="2"/>
      <scheme val="minor"/>
    </font>
    <font>
      <sz val="11"/>
      <color theme="0"/>
      <name val="Aptos Narrow"/>
      <family val="2"/>
      <scheme val="minor"/>
    </font>
    <font>
      <u/>
      <sz val="11"/>
      <color theme="1"/>
      <name val="Aptos Narrow"/>
      <family val="2"/>
      <scheme val="minor"/>
    </font>
    <font>
      <sz val="11"/>
      <color theme="1"/>
      <name val="Aptos"/>
      <family val="2"/>
    </font>
    <font>
      <b/>
      <sz val="11"/>
      <color theme="0"/>
      <name val="Aptos Narrow"/>
      <family val="2"/>
      <scheme val="minor"/>
    </font>
    <font>
      <sz val="9"/>
      <color indexed="81"/>
      <name val="Tahoma"/>
      <charset val="1"/>
    </font>
    <font>
      <b/>
      <sz val="9"/>
      <color indexed="81"/>
      <name val="Tahoma"/>
      <charset val="1"/>
    </font>
    <font>
      <vertAlign val="superscript"/>
      <sz val="11"/>
      <color theme="1"/>
      <name val="Aptos Narrow"/>
      <family val="2"/>
      <scheme val="minor"/>
    </font>
    <font>
      <vertAlign val="subscript"/>
      <sz val="11"/>
      <color theme="1"/>
      <name val="Aptos Narrow"/>
      <family val="2"/>
      <scheme val="minor"/>
    </font>
    <font>
      <b/>
      <vertAlign val="subscript"/>
      <sz val="11"/>
      <color theme="0"/>
      <name val="Aptos Narrow"/>
      <family val="2"/>
      <scheme val="minor"/>
    </font>
    <font>
      <sz val="11"/>
      <color rgb="FF000000"/>
      <name val="Aptos Narrow"/>
      <scheme val="minor"/>
    </font>
    <font>
      <vertAlign val="superscript"/>
      <sz val="11"/>
      <color rgb="FF000000"/>
      <name val="Aptos Narrow"/>
      <scheme val="minor"/>
    </font>
    <font>
      <b/>
      <sz val="11"/>
      <color rgb="FF275317"/>
      <name val="Aptos Narrow"/>
      <scheme val="minor"/>
    </font>
  </fonts>
  <fills count="10">
    <fill>
      <patternFill patternType="none"/>
    </fill>
    <fill>
      <patternFill patternType="gray125"/>
    </fill>
    <fill>
      <patternFill patternType="solid">
        <fgColor theme="5" tint="0.79998168889431442"/>
        <bgColor indexed="64"/>
      </patternFill>
    </fill>
    <fill>
      <patternFill patternType="solid">
        <fgColor theme="5" tint="0.59999389629810485"/>
        <bgColor indexed="64"/>
      </patternFill>
    </fill>
    <fill>
      <patternFill patternType="solid">
        <fgColor theme="3" tint="0.89999084444715716"/>
        <bgColor indexed="64"/>
      </patternFill>
    </fill>
    <fill>
      <patternFill patternType="solid">
        <fgColor theme="9" tint="0.79998168889431442"/>
        <bgColor indexed="64"/>
      </patternFill>
    </fill>
    <fill>
      <patternFill patternType="solid">
        <fgColor theme="2"/>
        <bgColor indexed="64"/>
      </patternFill>
    </fill>
    <fill>
      <patternFill patternType="solid">
        <fgColor theme="0"/>
        <bgColor indexed="64"/>
      </patternFill>
    </fill>
    <fill>
      <patternFill patternType="solid">
        <fgColor theme="5"/>
        <bgColor indexed="64"/>
      </patternFill>
    </fill>
    <fill>
      <patternFill patternType="solid">
        <fgColor theme="5" tint="-0.249977111117893"/>
        <bgColor indexed="64"/>
      </patternFill>
    </fill>
  </fills>
  <borders count="11">
    <border>
      <left/>
      <right/>
      <top/>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3">
    <xf numFmtId="0" fontId="0" fillId="0" borderId="0"/>
    <xf numFmtId="9" fontId="1" fillId="0" borderId="0" applyFont="0" applyFill="0" applyBorder="0" applyAlignment="0" applyProtection="0"/>
    <xf numFmtId="43" fontId="1" fillId="0" borderId="0" applyFont="0" applyFill="0" applyBorder="0" applyAlignment="0" applyProtection="0"/>
  </cellStyleXfs>
  <cellXfs count="88">
    <xf numFmtId="0" fontId="0" fillId="0" borderId="0" xfId="0"/>
    <xf numFmtId="0" fontId="3" fillId="0" borderId="0" xfId="0" applyFont="1" applyAlignment="1">
      <alignment horizontal="center" vertical="center" wrapText="1" readingOrder="1"/>
    </xf>
    <xf numFmtId="0" fontId="2" fillId="0" borderId="0" xfId="0" applyFont="1" applyAlignment="1">
      <alignment horizontal="center" vertical="center" wrapText="1"/>
    </xf>
    <xf numFmtId="0" fontId="4" fillId="0" borderId="0" xfId="0" applyFont="1" applyAlignment="1">
      <alignment horizontal="center" vertical="center" wrapText="1" readingOrder="1"/>
    </xf>
    <xf numFmtId="0" fontId="0" fillId="2" borderId="0" xfId="0" applyFill="1"/>
    <xf numFmtId="9" fontId="0" fillId="2" borderId="0" xfId="1" applyFont="1" applyFill="1"/>
    <xf numFmtId="0" fontId="0" fillId="3" borderId="0" xfId="0" applyFill="1"/>
    <xf numFmtId="0" fontId="0" fillId="4" borderId="0" xfId="0" applyFill="1"/>
    <xf numFmtId="2" fontId="0" fillId="4" borderId="0" xfId="0" applyNumberFormat="1" applyFill="1"/>
    <xf numFmtId="2" fontId="0" fillId="0" borderId="0" xfId="0" applyNumberFormat="1"/>
    <xf numFmtId="1" fontId="0" fillId="0" borderId="0" xfId="0" applyNumberFormat="1"/>
    <xf numFmtId="1" fontId="0" fillId="4" borderId="0" xfId="0" applyNumberFormat="1" applyFill="1"/>
    <xf numFmtId="9" fontId="0" fillId="0" borderId="0" xfId="0" applyNumberFormat="1"/>
    <xf numFmtId="9" fontId="0" fillId="0" borderId="0" xfId="1" applyFont="1"/>
    <xf numFmtId="10" fontId="0" fillId="0" borderId="0" xfId="0" applyNumberFormat="1"/>
    <xf numFmtId="165" fontId="0" fillId="0" borderId="0" xfId="0" applyNumberFormat="1"/>
    <xf numFmtId="0" fontId="5" fillId="0" borderId="0" xfId="0" applyFont="1"/>
    <xf numFmtId="165" fontId="0" fillId="0" borderId="0" xfId="1" applyNumberFormat="1" applyFont="1"/>
    <xf numFmtId="0" fontId="0" fillId="5" borderId="0" xfId="0" applyFill="1"/>
    <xf numFmtId="165" fontId="0" fillId="0" borderId="0" xfId="1" applyNumberFormat="1" applyFont="1" applyFill="1"/>
    <xf numFmtId="164" fontId="0" fillId="0" borderId="0" xfId="0" applyNumberFormat="1"/>
    <xf numFmtId="0" fontId="0" fillId="0" borderId="1" xfId="0" applyBorder="1"/>
    <xf numFmtId="9" fontId="0" fillId="6" borderId="2" xfId="0" applyNumberFormat="1" applyFill="1" applyBorder="1"/>
    <xf numFmtId="1" fontId="0" fillId="4" borderId="1" xfId="0" applyNumberFormat="1" applyFill="1" applyBorder="1"/>
    <xf numFmtId="0" fontId="6" fillId="0" borderId="0" xfId="0" applyFont="1"/>
    <xf numFmtId="2" fontId="0" fillId="4" borderId="1" xfId="0" applyNumberFormat="1" applyFill="1" applyBorder="1"/>
    <xf numFmtId="0" fontId="8" fillId="0" borderId="0" xfId="0" applyFont="1" applyAlignment="1">
      <alignment vertical="center"/>
    </xf>
    <xf numFmtId="9" fontId="0" fillId="4" borderId="2" xfId="0" applyNumberFormat="1" applyFill="1" applyBorder="1"/>
    <xf numFmtId="9" fontId="0" fillId="2" borderId="2" xfId="0" applyNumberFormat="1" applyFill="1" applyBorder="1"/>
    <xf numFmtId="1" fontId="0" fillId="4" borderId="2" xfId="0" applyNumberFormat="1" applyFill="1" applyBorder="1" applyProtection="1">
      <protection locked="0"/>
    </xf>
    <xf numFmtId="0" fontId="0" fillId="4" borderId="2" xfId="0" applyFill="1" applyBorder="1" applyProtection="1">
      <protection locked="0"/>
    </xf>
    <xf numFmtId="9" fontId="0" fillId="4" borderId="2" xfId="0" applyNumberFormat="1" applyFill="1" applyBorder="1" applyProtection="1">
      <protection locked="0"/>
    </xf>
    <xf numFmtId="2" fontId="0" fillId="4" borderId="2" xfId="0" applyNumberFormat="1" applyFill="1" applyBorder="1" applyProtection="1">
      <protection locked="0"/>
    </xf>
    <xf numFmtId="0" fontId="0" fillId="7" borderId="0" xfId="0" applyFill="1"/>
    <xf numFmtId="0" fontId="5" fillId="7" borderId="0" xfId="0" applyFont="1" applyFill="1"/>
    <xf numFmtId="9" fontId="0" fillId="7" borderId="0" xfId="0" applyNumberFormat="1" applyFill="1"/>
    <xf numFmtId="2" fontId="0" fillId="7" borderId="0" xfId="0" applyNumberFormat="1" applyFill="1"/>
    <xf numFmtId="2" fontId="0" fillId="7" borderId="0" xfId="0" applyNumberFormat="1" applyFill="1" applyAlignment="1">
      <alignment horizontal="right"/>
    </xf>
    <xf numFmtId="2" fontId="0" fillId="7" borderId="0" xfId="1" applyNumberFormat="1" applyFont="1" applyFill="1"/>
    <xf numFmtId="9" fontId="0" fillId="7" borderId="0" xfId="1" applyFont="1" applyFill="1"/>
    <xf numFmtId="0" fontId="0" fillId="7" borderId="0" xfId="0" applyFill="1" applyAlignment="1">
      <alignment wrapText="1"/>
    </xf>
    <xf numFmtId="0" fontId="0" fillId="7" borderId="0" xfId="0" applyFill="1" applyAlignment="1">
      <alignment vertical="center" wrapText="1"/>
    </xf>
    <xf numFmtId="0" fontId="6" fillId="7" borderId="0" xfId="0" applyFont="1" applyFill="1" applyAlignment="1">
      <alignment vertical="center"/>
    </xf>
    <xf numFmtId="0" fontId="6" fillId="7" borderId="0" xfId="0" applyFont="1" applyFill="1" applyAlignment="1">
      <alignment horizontal="right" vertical="center"/>
    </xf>
    <xf numFmtId="1" fontId="0" fillId="7" borderId="0" xfId="0" applyNumberFormat="1" applyFill="1"/>
    <xf numFmtId="1" fontId="0" fillId="7" borderId="0" xfId="0" applyNumberFormat="1" applyFill="1" applyAlignment="1">
      <alignment horizontal="right"/>
    </xf>
    <xf numFmtId="43" fontId="0" fillId="7" borderId="0" xfId="2" applyFont="1" applyFill="1"/>
    <xf numFmtId="1" fontId="0" fillId="2" borderId="0" xfId="0" applyNumberFormat="1" applyFill="1"/>
    <xf numFmtId="0" fontId="0" fillId="2" borderId="0" xfId="1" applyNumberFormat="1" applyFont="1" applyFill="1"/>
    <xf numFmtId="0" fontId="0" fillId="2" borderId="0" xfId="0" applyFill="1" applyAlignment="1">
      <alignment vertical="center" wrapText="1"/>
    </xf>
    <xf numFmtId="0" fontId="6" fillId="2" borderId="0" xfId="0" applyFont="1" applyFill="1" applyAlignment="1">
      <alignment vertical="center"/>
    </xf>
    <xf numFmtId="0" fontId="6" fillId="2" borderId="0" xfId="0" applyFont="1" applyFill="1" applyAlignment="1">
      <alignment horizontal="right" vertical="center"/>
    </xf>
    <xf numFmtId="0" fontId="0" fillId="2" borderId="0" xfId="0" applyFill="1" applyAlignment="1">
      <alignment vertical="center"/>
    </xf>
    <xf numFmtId="0" fontId="9" fillId="8" borderId="0" xfId="0" applyFont="1" applyFill="1"/>
    <xf numFmtId="0" fontId="0" fillId="8" borderId="0" xfId="0" applyFill="1"/>
    <xf numFmtId="2" fontId="0" fillId="2" borderId="0" xfId="0" applyNumberFormat="1" applyFill="1"/>
    <xf numFmtId="2" fontId="0" fillId="2" borderId="0" xfId="1" applyNumberFormat="1" applyFont="1" applyFill="1"/>
    <xf numFmtId="0" fontId="0" fillId="7" borderId="0" xfId="0" applyFill="1" applyAlignment="1">
      <alignment horizontal="center"/>
    </xf>
    <xf numFmtId="0" fontId="0" fillId="7" borderId="4" xfId="0" applyFill="1" applyBorder="1"/>
    <xf numFmtId="0" fontId="0" fillId="7" borderId="5" xfId="0" applyFill="1" applyBorder="1"/>
    <xf numFmtId="0" fontId="0" fillId="7" borderId="6" xfId="0" applyFill="1" applyBorder="1"/>
    <xf numFmtId="0" fontId="0" fillId="7" borderId="7" xfId="0" applyFill="1" applyBorder="1"/>
    <xf numFmtId="0" fontId="0" fillId="7" borderId="8" xfId="0" applyFill="1" applyBorder="1"/>
    <xf numFmtId="0" fontId="0" fillId="7" borderId="9" xfId="0" applyFill="1" applyBorder="1"/>
    <xf numFmtId="0" fontId="0" fillId="7" borderId="10" xfId="0" applyFill="1" applyBorder="1"/>
    <xf numFmtId="0" fontId="0" fillId="7" borderId="0" xfId="0" applyFill="1" applyAlignment="1">
      <alignment horizontal="left"/>
    </xf>
    <xf numFmtId="0" fontId="0" fillId="0" borderId="0" xfId="0" applyAlignment="1">
      <alignment horizontal="left"/>
    </xf>
    <xf numFmtId="0" fontId="0" fillId="7" borderId="6" xfId="0" applyFill="1" applyBorder="1" applyAlignment="1">
      <alignment horizontal="left" vertical="center" wrapText="1"/>
    </xf>
    <xf numFmtId="0" fontId="0" fillId="7" borderId="0" xfId="0" applyFill="1" applyAlignment="1">
      <alignment horizontal="left" vertical="center" wrapText="1"/>
    </xf>
    <xf numFmtId="0" fontId="0" fillId="7" borderId="7" xfId="0" applyFill="1" applyBorder="1" applyAlignment="1">
      <alignment horizontal="left" vertical="center" wrapText="1"/>
    </xf>
    <xf numFmtId="0" fontId="0" fillId="7" borderId="0" xfId="0" applyFill="1" applyProtection="1">
      <protection locked="0"/>
    </xf>
    <xf numFmtId="0" fontId="9" fillId="9" borderId="0" xfId="0" applyFont="1" applyFill="1"/>
    <xf numFmtId="0" fontId="0" fillId="2" borderId="2" xfId="0" applyFill="1" applyBorder="1"/>
    <xf numFmtId="1" fontId="0" fillId="2" borderId="2" xfId="0" applyNumberFormat="1" applyFill="1" applyBorder="1"/>
    <xf numFmtId="2" fontId="0" fillId="2" borderId="2" xfId="0" applyNumberFormat="1" applyFill="1" applyBorder="1"/>
    <xf numFmtId="9" fontId="0" fillId="7" borderId="2" xfId="1" applyFont="1" applyFill="1" applyBorder="1"/>
    <xf numFmtId="0" fontId="17" fillId="7" borderId="3" xfId="0" applyFont="1" applyFill="1" applyBorder="1"/>
    <xf numFmtId="0" fontId="0" fillId="7" borderId="0" xfId="0" applyFill="1" applyAlignment="1">
      <alignment horizontal="left"/>
    </xf>
    <xf numFmtId="0" fontId="0" fillId="7" borderId="0" xfId="0" applyFill="1" applyAlignment="1">
      <alignment horizontal="left" wrapText="1"/>
    </xf>
    <xf numFmtId="0" fontId="15" fillId="7" borderId="6" xfId="0" applyFont="1" applyFill="1" applyBorder="1" applyAlignment="1">
      <alignment horizontal="left" vertical="center" wrapText="1"/>
    </xf>
    <xf numFmtId="0" fontId="0" fillId="7" borderId="0" xfId="0" applyFill="1" applyAlignment="1">
      <alignment horizontal="left" vertical="center" wrapText="1"/>
    </xf>
    <xf numFmtId="0" fontId="0" fillId="7" borderId="7" xfId="0" applyFill="1" applyBorder="1" applyAlignment="1">
      <alignment horizontal="left" vertical="center" wrapText="1"/>
    </xf>
    <xf numFmtId="0" fontId="0" fillId="7" borderId="6" xfId="0" applyFill="1" applyBorder="1" applyAlignment="1">
      <alignment horizontal="left" vertical="center" wrapText="1"/>
    </xf>
    <xf numFmtId="0" fontId="17" fillId="7" borderId="0" xfId="0" applyFont="1" applyFill="1" applyAlignment="1">
      <alignment horizontal="left" vertical="top" wrapText="1"/>
    </xf>
    <xf numFmtId="0" fontId="0" fillId="7" borderId="0" xfId="0" applyFill="1" applyAlignment="1">
      <alignment horizontal="left" vertical="top" wrapText="1"/>
    </xf>
    <xf numFmtId="0" fontId="0" fillId="7" borderId="0" xfId="0" applyFill="1" applyAlignment="1">
      <alignment horizontal="left" vertical="center"/>
    </xf>
    <xf numFmtId="0" fontId="0" fillId="0" borderId="0" xfId="0" applyAlignment="1">
      <alignment horizontal="left"/>
    </xf>
    <xf numFmtId="0" fontId="7" fillId="0" borderId="0" xfId="0" applyFont="1" applyAlignment="1">
      <alignment horizontal="left"/>
    </xf>
  </cellXfs>
  <cellStyles count="3">
    <cellStyle name="Comma" xfId="2" builtinId="3"/>
    <cellStyle name="Normal" xfId="0" builtinId="0"/>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18" Type="http://schemas.microsoft.com/office/2017/06/relationships/rdRichValueTypes" Target="richData/rdRichValueTypes.xml"/><Relationship Id="rId3" Type="http://schemas.openxmlformats.org/officeDocument/2006/relationships/worksheet" Target="worksheets/sheet3.xml"/><Relationship Id="rId21" Type="http://schemas.openxmlformats.org/officeDocument/2006/relationships/customXml" Target="../customXml/item1.xml"/><Relationship Id="rId7" Type="http://schemas.openxmlformats.org/officeDocument/2006/relationships/worksheet" Target="worksheets/sheet7.xml"/><Relationship Id="rId12" Type="http://schemas.openxmlformats.org/officeDocument/2006/relationships/styles" Target="styles.xml"/><Relationship Id="rId17" Type="http://schemas.microsoft.com/office/2017/06/relationships/rdRichValueStructure" Target="richData/rdrichvaluestructure.xml"/><Relationship Id="rId2" Type="http://schemas.openxmlformats.org/officeDocument/2006/relationships/worksheet" Target="worksheets/sheet2.xml"/><Relationship Id="rId16" Type="http://schemas.microsoft.com/office/2017/06/relationships/rdRichValue" Target="richData/rdrichvalue.xml"/><Relationship Id="rId20"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microsoft.com/office/2022/10/relationships/richValueRel" Target="richData/richValueRel.xml"/><Relationship Id="rId23" Type="http://schemas.openxmlformats.org/officeDocument/2006/relationships/customXml" Target="../customXml/item3.xml"/><Relationship Id="rId10" Type="http://schemas.openxmlformats.org/officeDocument/2006/relationships/worksheet" Target="worksheets/sheet10.xml"/><Relationship Id="rId19" Type="http://schemas.microsoft.com/office/2017/10/relationships/person" Target="persons/perso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eetMetadata" Target="metadata.xml"/><Relationship Id="rId22" Type="http://schemas.openxmlformats.org/officeDocument/2006/relationships/customXml" Target="../customXml/item2.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100" b="0" i="0" u="none" strike="noStrike" kern="1200" spc="0" baseline="0">
                <a:solidFill>
                  <a:schemeClr val="tx1">
                    <a:lumMod val="65000"/>
                    <a:lumOff val="35000"/>
                  </a:schemeClr>
                </a:solidFill>
                <a:latin typeface="+mn-lt"/>
                <a:ea typeface="+mn-ea"/>
                <a:cs typeface="+mn-cs"/>
              </a:defRPr>
            </a:pPr>
            <a:r>
              <a:rPr lang="en-GB" sz="1100"/>
              <a:t>Company A scope 3 emissions trajectory</a:t>
            </a:r>
          </a:p>
        </c:rich>
      </c:tx>
      <c:overlay val="0"/>
      <c:spPr>
        <a:noFill/>
        <a:ln>
          <a:noFill/>
        </a:ln>
        <a:effectLst/>
      </c:spPr>
      <c:txPr>
        <a:bodyPr rot="0" spcFirstLastPara="1" vertOverflow="ellipsis" vert="horz" wrap="square" anchor="ctr" anchorCtr="1"/>
        <a:lstStyle/>
        <a:p>
          <a:pPr>
            <a:defRPr sz="11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col"/>
        <c:grouping val="clustered"/>
        <c:varyColors val="0"/>
        <c:ser>
          <c:idx val="0"/>
          <c:order val="0"/>
          <c:tx>
            <c:strRef>
              <c:f>'Claim examples'!$B$4</c:f>
              <c:strCache>
                <c:ptCount val="1"/>
                <c:pt idx="0">
                  <c:v>Target</c:v>
                </c:pt>
              </c:strCache>
            </c:strRef>
          </c:tx>
          <c:spPr>
            <a:solidFill>
              <a:schemeClr val="accent1"/>
            </a:solidFill>
            <a:ln>
              <a:noFill/>
            </a:ln>
            <a:effectLst/>
          </c:spPr>
          <c:invertIfNegative val="0"/>
          <c:cat>
            <c:numRef>
              <c:f>'Claim examples'!$C$3:$M$3</c:f>
              <c:numCache>
                <c:formatCode>General</c:formatCode>
                <c:ptCount val="11"/>
                <c:pt idx="0">
                  <c:v>2020</c:v>
                </c:pt>
                <c:pt idx="1">
                  <c:v>2021</c:v>
                </c:pt>
                <c:pt idx="2">
                  <c:v>2022</c:v>
                </c:pt>
                <c:pt idx="3">
                  <c:v>2023</c:v>
                </c:pt>
                <c:pt idx="4">
                  <c:v>2024</c:v>
                </c:pt>
                <c:pt idx="5">
                  <c:v>2025</c:v>
                </c:pt>
                <c:pt idx="6">
                  <c:v>2026</c:v>
                </c:pt>
                <c:pt idx="7">
                  <c:v>2027</c:v>
                </c:pt>
                <c:pt idx="8">
                  <c:v>2028</c:v>
                </c:pt>
                <c:pt idx="9">
                  <c:v>2029</c:v>
                </c:pt>
                <c:pt idx="10">
                  <c:v>2030</c:v>
                </c:pt>
              </c:numCache>
            </c:numRef>
          </c:cat>
          <c:val>
            <c:numRef>
              <c:f>'Claim examples'!$C$4:$M$4</c:f>
              <c:numCache>
                <c:formatCode>General</c:formatCode>
                <c:ptCount val="11"/>
                <c:pt idx="0">
                  <c:v>800</c:v>
                </c:pt>
                <c:pt idx="10">
                  <c:v>600</c:v>
                </c:pt>
              </c:numCache>
            </c:numRef>
          </c:val>
          <c:extLst>
            <c:ext xmlns:c16="http://schemas.microsoft.com/office/drawing/2014/chart" uri="{C3380CC4-5D6E-409C-BE32-E72D297353CC}">
              <c16:uniqueId val="{00000000-58A8-46DC-9B6D-CF0EEB958025}"/>
            </c:ext>
          </c:extLst>
        </c:ser>
        <c:dLbls>
          <c:showLegendKey val="0"/>
          <c:showVal val="0"/>
          <c:showCatName val="0"/>
          <c:showSerName val="0"/>
          <c:showPercent val="0"/>
          <c:showBubbleSize val="0"/>
        </c:dLbls>
        <c:gapWidth val="150"/>
        <c:axId val="749498672"/>
        <c:axId val="749500112"/>
      </c:barChart>
      <c:lineChart>
        <c:grouping val="standard"/>
        <c:varyColors val="0"/>
        <c:ser>
          <c:idx val="1"/>
          <c:order val="1"/>
          <c:tx>
            <c:strRef>
              <c:f>'Claim examples'!$B$5</c:f>
              <c:strCache>
                <c:ptCount val="1"/>
                <c:pt idx="0">
                  <c:v>Trajectory</c:v>
                </c:pt>
              </c:strCache>
            </c:strRef>
          </c:tx>
          <c:spPr>
            <a:ln w="28575" cap="rnd">
              <a:solidFill>
                <a:schemeClr val="accent2"/>
              </a:solidFill>
              <a:round/>
            </a:ln>
            <a:effectLst/>
          </c:spPr>
          <c:marker>
            <c:symbol val="none"/>
          </c:marker>
          <c:val>
            <c:numRef>
              <c:f>'Claim examples'!$C$5:$M$5</c:f>
              <c:numCache>
                <c:formatCode>General</c:formatCode>
                <c:ptCount val="11"/>
                <c:pt idx="0">
                  <c:v>800</c:v>
                </c:pt>
                <c:pt idx="1">
                  <c:v>780</c:v>
                </c:pt>
                <c:pt idx="2">
                  <c:v>760</c:v>
                </c:pt>
                <c:pt idx="3">
                  <c:v>740</c:v>
                </c:pt>
                <c:pt idx="4">
                  <c:v>720</c:v>
                </c:pt>
                <c:pt idx="5">
                  <c:v>700</c:v>
                </c:pt>
                <c:pt idx="6">
                  <c:v>680</c:v>
                </c:pt>
                <c:pt idx="7">
                  <c:v>660</c:v>
                </c:pt>
                <c:pt idx="8">
                  <c:v>640</c:v>
                </c:pt>
                <c:pt idx="9">
                  <c:v>620</c:v>
                </c:pt>
                <c:pt idx="10">
                  <c:v>600</c:v>
                </c:pt>
              </c:numCache>
            </c:numRef>
          </c:val>
          <c:smooth val="0"/>
          <c:extLst>
            <c:ext xmlns:c16="http://schemas.microsoft.com/office/drawing/2014/chart" uri="{C3380CC4-5D6E-409C-BE32-E72D297353CC}">
              <c16:uniqueId val="{00000001-58A8-46DC-9B6D-CF0EEB958025}"/>
            </c:ext>
          </c:extLst>
        </c:ser>
        <c:dLbls>
          <c:showLegendKey val="0"/>
          <c:showVal val="0"/>
          <c:showCatName val="0"/>
          <c:showSerName val="0"/>
          <c:showPercent val="0"/>
          <c:showBubbleSize val="0"/>
        </c:dLbls>
        <c:marker val="1"/>
        <c:smooth val="0"/>
        <c:axId val="749498672"/>
        <c:axId val="749500112"/>
      </c:lineChart>
      <c:catAx>
        <c:axId val="74949867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49500112"/>
        <c:crosses val="autoZero"/>
        <c:auto val="1"/>
        <c:lblAlgn val="ctr"/>
        <c:lblOffset val="100"/>
        <c:noMultiLvlLbl val="0"/>
      </c:catAx>
      <c:valAx>
        <c:axId val="749500112"/>
        <c:scaling>
          <c:orientation val="minMax"/>
          <c:min val="400"/>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GB"/>
                  <a:t>tCO</a:t>
                </a:r>
                <a:r>
                  <a:rPr lang="en-GB" baseline="-25000"/>
                  <a:t>2</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4949867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GB"/>
              <a:t>Scope 3 emissions gap for Company A under carbon budget approach</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manualLayout>
          <c:layoutTarget val="inner"/>
          <c:xMode val="edge"/>
          <c:yMode val="edge"/>
          <c:x val="6.8441395296650095E-2"/>
          <c:y val="5.954279035534419E-2"/>
          <c:w val="0.92540012441901909"/>
          <c:h val="0.73614173228346458"/>
        </c:manualLayout>
      </c:layout>
      <c:barChart>
        <c:barDir val="col"/>
        <c:grouping val="stacked"/>
        <c:varyColors val="0"/>
        <c:ser>
          <c:idx val="0"/>
          <c:order val="0"/>
          <c:tx>
            <c:strRef>
              <c:f>Absolute_targets!$B$28</c:f>
              <c:strCache>
                <c:ptCount val="1"/>
                <c:pt idx="0">
                  <c:v>Trajectory emissions (tCO2e)</c:v>
                </c:pt>
              </c:strCache>
            </c:strRef>
          </c:tx>
          <c:spPr>
            <a:solidFill>
              <a:schemeClr val="bg1">
                <a:lumMod val="85000"/>
              </a:schemeClr>
            </a:solidFill>
            <a:ln>
              <a:noFill/>
            </a:ln>
            <a:effectLst/>
          </c:spPr>
          <c:invertIfNegative val="0"/>
          <c:dPt>
            <c:idx val="0"/>
            <c:invertIfNegative val="0"/>
            <c:bubble3D val="0"/>
            <c:spPr>
              <a:solidFill>
                <a:schemeClr val="tx1">
                  <a:lumMod val="50000"/>
                  <a:lumOff val="50000"/>
                </a:schemeClr>
              </a:solidFill>
              <a:ln>
                <a:noFill/>
              </a:ln>
              <a:effectLst/>
            </c:spPr>
            <c:extLst>
              <c:ext xmlns:c16="http://schemas.microsoft.com/office/drawing/2014/chart" uri="{C3380CC4-5D6E-409C-BE32-E72D297353CC}">
                <c16:uniqueId val="{00000001-E7F9-49C9-A22A-0570DB1BF28F}"/>
              </c:ext>
            </c:extLst>
          </c:dPt>
          <c:dPt>
            <c:idx val="10"/>
            <c:invertIfNegative val="0"/>
            <c:bubble3D val="0"/>
            <c:spPr>
              <a:solidFill>
                <a:schemeClr val="tx1">
                  <a:lumMod val="50000"/>
                  <a:lumOff val="50000"/>
                </a:schemeClr>
              </a:solidFill>
              <a:ln>
                <a:noFill/>
              </a:ln>
              <a:effectLst/>
            </c:spPr>
            <c:extLst>
              <c:ext xmlns:c16="http://schemas.microsoft.com/office/drawing/2014/chart" uri="{C3380CC4-5D6E-409C-BE32-E72D297353CC}">
                <c16:uniqueId val="{00000003-E7F9-49C9-A22A-0570DB1BF28F}"/>
              </c:ext>
            </c:extLst>
          </c:dPt>
          <c:cat>
            <c:numRef>
              <c:f>Absolute_targets!$C$27:$M$27</c:f>
              <c:numCache>
                <c:formatCode>0</c:formatCode>
                <c:ptCount val="11"/>
                <c:pt idx="0">
                  <c:v>2020</c:v>
                </c:pt>
                <c:pt idx="1">
                  <c:v>2021</c:v>
                </c:pt>
                <c:pt idx="2">
                  <c:v>2022</c:v>
                </c:pt>
                <c:pt idx="3">
                  <c:v>2023</c:v>
                </c:pt>
                <c:pt idx="4">
                  <c:v>2024</c:v>
                </c:pt>
                <c:pt idx="5">
                  <c:v>2025</c:v>
                </c:pt>
                <c:pt idx="6">
                  <c:v>2026</c:v>
                </c:pt>
                <c:pt idx="7">
                  <c:v>2027</c:v>
                </c:pt>
                <c:pt idx="8">
                  <c:v>2028</c:v>
                </c:pt>
                <c:pt idx="9">
                  <c:v>2029</c:v>
                </c:pt>
                <c:pt idx="10">
                  <c:v>2030</c:v>
                </c:pt>
              </c:numCache>
            </c:numRef>
          </c:cat>
          <c:val>
            <c:numRef>
              <c:f>Absolute_targets!$C$28:$M$28</c:f>
              <c:numCache>
                <c:formatCode>General</c:formatCode>
                <c:ptCount val="11"/>
                <c:pt idx="0">
                  <c:v>800</c:v>
                </c:pt>
                <c:pt idx="1">
                  <c:v>780</c:v>
                </c:pt>
                <c:pt idx="2">
                  <c:v>760</c:v>
                </c:pt>
                <c:pt idx="3">
                  <c:v>740</c:v>
                </c:pt>
                <c:pt idx="4">
                  <c:v>720</c:v>
                </c:pt>
                <c:pt idx="5" formatCode="0">
                  <c:v>700</c:v>
                </c:pt>
                <c:pt idx="6">
                  <c:v>680</c:v>
                </c:pt>
                <c:pt idx="7">
                  <c:v>660</c:v>
                </c:pt>
                <c:pt idx="8">
                  <c:v>640</c:v>
                </c:pt>
                <c:pt idx="9">
                  <c:v>620</c:v>
                </c:pt>
                <c:pt idx="10">
                  <c:v>600</c:v>
                </c:pt>
              </c:numCache>
            </c:numRef>
          </c:val>
          <c:extLst>
            <c:ext xmlns:c16="http://schemas.microsoft.com/office/drawing/2014/chart" uri="{C3380CC4-5D6E-409C-BE32-E72D297353CC}">
              <c16:uniqueId val="{00000004-E7F9-49C9-A22A-0570DB1BF28F}"/>
            </c:ext>
          </c:extLst>
        </c:ser>
        <c:ser>
          <c:idx val="2"/>
          <c:order val="1"/>
          <c:tx>
            <c:strRef>
              <c:f>Absolute_targets!$B$30</c:f>
              <c:strCache>
                <c:ptCount val="1"/>
                <c:pt idx="0">
                  <c:v>Emissions gap (tCO2e)</c:v>
                </c:pt>
              </c:strCache>
            </c:strRef>
          </c:tx>
          <c:spPr>
            <a:solidFill>
              <a:schemeClr val="accent3"/>
            </a:solidFill>
            <a:ln>
              <a:noFill/>
            </a:ln>
            <a:effectLst/>
          </c:spPr>
          <c:invertIfNegative val="0"/>
          <c:cat>
            <c:numRef>
              <c:f>Absolute_targets!$C$27:$M$27</c:f>
              <c:numCache>
                <c:formatCode>0</c:formatCode>
                <c:ptCount val="11"/>
                <c:pt idx="0">
                  <c:v>2020</c:v>
                </c:pt>
                <c:pt idx="1">
                  <c:v>2021</c:v>
                </c:pt>
                <c:pt idx="2">
                  <c:v>2022</c:v>
                </c:pt>
                <c:pt idx="3">
                  <c:v>2023</c:v>
                </c:pt>
                <c:pt idx="4">
                  <c:v>2024</c:v>
                </c:pt>
                <c:pt idx="5">
                  <c:v>2025</c:v>
                </c:pt>
                <c:pt idx="6">
                  <c:v>2026</c:v>
                </c:pt>
                <c:pt idx="7">
                  <c:v>2027</c:v>
                </c:pt>
                <c:pt idx="8">
                  <c:v>2028</c:v>
                </c:pt>
                <c:pt idx="9">
                  <c:v>2029</c:v>
                </c:pt>
                <c:pt idx="10">
                  <c:v>2030</c:v>
                </c:pt>
              </c:numCache>
            </c:numRef>
          </c:cat>
          <c:val>
            <c:numRef>
              <c:f>Absolute_targets!$C$30:$M$30</c:f>
              <c:numCache>
                <c:formatCode>0</c:formatCode>
                <c:ptCount val="11"/>
                <c:pt idx="1">
                  <c:v>0</c:v>
                </c:pt>
                <c:pt idx="2">
                  <c:v>76.000000000000114</c:v>
                </c:pt>
                <c:pt idx="3">
                  <c:v>260</c:v>
                </c:pt>
                <c:pt idx="4">
                  <c:v>180</c:v>
                </c:pt>
                <c:pt idx="5">
                  <c:v>100</c:v>
                </c:pt>
                <c:pt idx="6">
                  <c:v>20</c:v>
                </c:pt>
                <c:pt idx="7">
                  <c:v>-10</c:v>
                </c:pt>
                <c:pt idx="8">
                  <c:v>128</c:v>
                </c:pt>
                <c:pt idx="9">
                  <c:v>93</c:v>
                </c:pt>
                <c:pt idx="10">
                  <c:v>60</c:v>
                </c:pt>
              </c:numCache>
            </c:numRef>
          </c:val>
          <c:extLst>
            <c:ext xmlns:c16="http://schemas.microsoft.com/office/drawing/2014/chart" uri="{C3380CC4-5D6E-409C-BE32-E72D297353CC}">
              <c16:uniqueId val="{00000005-E7F9-49C9-A22A-0570DB1BF28F}"/>
            </c:ext>
          </c:extLst>
        </c:ser>
        <c:dLbls>
          <c:showLegendKey val="0"/>
          <c:showVal val="0"/>
          <c:showCatName val="0"/>
          <c:showSerName val="0"/>
          <c:showPercent val="0"/>
          <c:showBubbleSize val="0"/>
        </c:dLbls>
        <c:gapWidth val="150"/>
        <c:overlap val="100"/>
        <c:axId val="1212581104"/>
        <c:axId val="746063408"/>
      </c:barChart>
      <c:catAx>
        <c:axId val="1212581104"/>
        <c:scaling>
          <c:orientation val="minMax"/>
        </c:scaling>
        <c:delete val="0"/>
        <c:axPos val="b"/>
        <c:numFmt formatCode="0"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46063408"/>
        <c:crosses val="autoZero"/>
        <c:auto val="1"/>
        <c:lblAlgn val="ctr"/>
        <c:lblOffset val="100"/>
        <c:noMultiLvlLbl val="0"/>
      </c:catAx>
      <c:valAx>
        <c:axId val="746063408"/>
        <c:scaling>
          <c:orientation val="minMax"/>
          <c:min val="400"/>
        </c:scaling>
        <c:delete val="0"/>
        <c:axPos val="l"/>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GB"/>
                  <a:t>(tCO</a:t>
                </a:r>
                <a:r>
                  <a:rPr lang="en-GB" baseline="-25000"/>
                  <a:t>2</a:t>
                </a:r>
                <a:r>
                  <a:rPr lang="en-GB"/>
                  <a:t>e)</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212581104"/>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100" b="0" i="0" u="none" strike="noStrike" kern="1200" spc="0" baseline="0">
                <a:solidFill>
                  <a:schemeClr val="tx1">
                    <a:lumMod val="65000"/>
                    <a:lumOff val="35000"/>
                  </a:schemeClr>
                </a:solidFill>
                <a:latin typeface="+mn-lt"/>
                <a:ea typeface="+mn-ea"/>
                <a:cs typeface="+mn-cs"/>
              </a:defRPr>
            </a:pPr>
            <a:r>
              <a:rPr lang="en-GB" sz="1100"/>
              <a:t>Company B scope 3 emissions trajectory</a:t>
            </a:r>
          </a:p>
        </c:rich>
      </c:tx>
      <c:overlay val="0"/>
      <c:spPr>
        <a:noFill/>
        <a:ln>
          <a:noFill/>
        </a:ln>
        <a:effectLst/>
      </c:spPr>
      <c:txPr>
        <a:bodyPr rot="0" spcFirstLastPara="1" vertOverflow="ellipsis" vert="horz" wrap="square" anchor="ctr" anchorCtr="1"/>
        <a:lstStyle/>
        <a:p>
          <a:pPr>
            <a:defRPr sz="11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col"/>
        <c:grouping val="clustered"/>
        <c:varyColors val="0"/>
        <c:ser>
          <c:idx val="0"/>
          <c:order val="0"/>
          <c:tx>
            <c:strRef>
              <c:f>Intensity_targets!#REF!</c:f>
              <c:strCache>
                <c:ptCount val="1"/>
                <c:pt idx="0">
                  <c:v>#REF!</c:v>
                </c:pt>
              </c:strCache>
            </c:strRef>
          </c:tx>
          <c:spPr>
            <a:solidFill>
              <a:schemeClr val="accent1"/>
            </a:solidFill>
            <a:ln>
              <a:noFill/>
            </a:ln>
            <a:effectLst/>
          </c:spPr>
          <c:invertIfNegative val="0"/>
          <c:cat>
            <c:numRef>
              <c:f>Intensity_targets!$C$27:$M$27</c:f>
              <c:numCache>
                <c:formatCode>General</c:formatCode>
                <c:ptCount val="11"/>
                <c:pt idx="0">
                  <c:v>2020</c:v>
                </c:pt>
                <c:pt idx="1">
                  <c:v>2021</c:v>
                </c:pt>
                <c:pt idx="2">
                  <c:v>2022</c:v>
                </c:pt>
                <c:pt idx="3">
                  <c:v>2023</c:v>
                </c:pt>
                <c:pt idx="4">
                  <c:v>2024</c:v>
                </c:pt>
                <c:pt idx="5">
                  <c:v>2025</c:v>
                </c:pt>
                <c:pt idx="6">
                  <c:v>2026</c:v>
                </c:pt>
                <c:pt idx="7">
                  <c:v>2027</c:v>
                </c:pt>
                <c:pt idx="8">
                  <c:v>2028</c:v>
                </c:pt>
                <c:pt idx="9">
                  <c:v>2029</c:v>
                </c:pt>
                <c:pt idx="10">
                  <c:v>2030</c:v>
                </c:pt>
              </c:numCache>
            </c:numRef>
          </c:cat>
          <c:val>
            <c:numRef>
              <c:f>Intensity_targets!#REF!</c:f>
              <c:numCache>
                <c:formatCode>General</c:formatCode>
                <c:ptCount val="1"/>
                <c:pt idx="0">
                  <c:v>1</c:v>
                </c:pt>
              </c:numCache>
            </c:numRef>
          </c:val>
          <c:extLst>
            <c:ext xmlns:c16="http://schemas.microsoft.com/office/drawing/2014/chart" uri="{C3380CC4-5D6E-409C-BE32-E72D297353CC}">
              <c16:uniqueId val="{00000000-7693-426E-AE18-B73135FFC0FD}"/>
            </c:ext>
          </c:extLst>
        </c:ser>
        <c:dLbls>
          <c:showLegendKey val="0"/>
          <c:showVal val="0"/>
          <c:showCatName val="0"/>
          <c:showSerName val="0"/>
          <c:showPercent val="0"/>
          <c:showBubbleSize val="0"/>
        </c:dLbls>
        <c:gapWidth val="150"/>
        <c:axId val="749498672"/>
        <c:axId val="749500112"/>
      </c:barChart>
      <c:lineChart>
        <c:grouping val="standard"/>
        <c:varyColors val="0"/>
        <c:ser>
          <c:idx val="1"/>
          <c:order val="1"/>
          <c:tx>
            <c:strRef>
              <c:f>Intensity_targets!$B$28</c:f>
              <c:strCache>
                <c:ptCount val="1"/>
                <c:pt idx="0">
                  <c:v>Trajectory emissions (tCO2e/[unit])</c:v>
                </c:pt>
              </c:strCache>
            </c:strRef>
          </c:tx>
          <c:spPr>
            <a:ln w="28575" cap="rnd">
              <a:solidFill>
                <a:schemeClr val="accent2"/>
              </a:solidFill>
              <a:round/>
            </a:ln>
            <a:effectLst/>
          </c:spPr>
          <c:marker>
            <c:symbol val="none"/>
          </c:marker>
          <c:val>
            <c:numRef>
              <c:f>Intensity_targets!$C$28:$M$28</c:f>
              <c:numCache>
                <c:formatCode>0.00</c:formatCode>
                <c:ptCount val="11"/>
                <c:pt idx="0">
                  <c:v>8</c:v>
                </c:pt>
                <c:pt idx="1">
                  <c:v>7.5872000000000002</c:v>
                </c:pt>
                <c:pt idx="2">
                  <c:v>7.1744000000000003</c:v>
                </c:pt>
                <c:pt idx="3">
                  <c:v>6.7615999999999996</c:v>
                </c:pt>
                <c:pt idx="4">
                  <c:v>6.3487999999999998</c:v>
                </c:pt>
                <c:pt idx="5">
                  <c:v>5.9359999999999999</c:v>
                </c:pt>
                <c:pt idx="6">
                  <c:v>5.5232000000000001</c:v>
                </c:pt>
                <c:pt idx="7">
                  <c:v>5.1104000000000003</c:v>
                </c:pt>
                <c:pt idx="8">
                  <c:v>4.6975999999999996</c:v>
                </c:pt>
                <c:pt idx="9">
                  <c:v>4.2847999999999997</c:v>
                </c:pt>
                <c:pt idx="10">
                  <c:v>3.8719999999999999</c:v>
                </c:pt>
              </c:numCache>
            </c:numRef>
          </c:val>
          <c:smooth val="0"/>
          <c:extLst>
            <c:ext xmlns:c16="http://schemas.microsoft.com/office/drawing/2014/chart" uri="{C3380CC4-5D6E-409C-BE32-E72D297353CC}">
              <c16:uniqueId val="{00000001-7693-426E-AE18-B73135FFC0FD}"/>
            </c:ext>
          </c:extLst>
        </c:ser>
        <c:dLbls>
          <c:showLegendKey val="0"/>
          <c:showVal val="0"/>
          <c:showCatName val="0"/>
          <c:showSerName val="0"/>
          <c:showPercent val="0"/>
          <c:showBubbleSize val="0"/>
        </c:dLbls>
        <c:marker val="1"/>
        <c:smooth val="0"/>
        <c:axId val="749498672"/>
        <c:axId val="749500112"/>
      </c:lineChart>
      <c:catAx>
        <c:axId val="74949867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49500112"/>
        <c:crosses val="autoZero"/>
        <c:auto val="1"/>
        <c:lblAlgn val="ctr"/>
        <c:lblOffset val="100"/>
        <c:noMultiLvlLbl val="0"/>
      </c:catAx>
      <c:valAx>
        <c:axId val="749500112"/>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GB"/>
                  <a:t>tCO</a:t>
                </a:r>
                <a:r>
                  <a:rPr lang="en-GB" baseline="-25000"/>
                  <a:t>2/</a:t>
                </a:r>
                <a:r>
                  <a:rPr lang="en-GB" baseline="0"/>
                  <a:t>ton of product</a:t>
                </a:r>
                <a:endParaRPr lang="en-GB" baseline="-25000"/>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GB"/>
            </a:p>
          </c:txPr>
        </c:title>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4949867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GB"/>
              <a:t>Scope 3 emissions gap for Company B under carbon budget approach</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col"/>
        <c:grouping val="stacked"/>
        <c:varyColors val="0"/>
        <c:ser>
          <c:idx val="0"/>
          <c:order val="0"/>
          <c:tx>
            <c:strRef>
              <c:f>Intensity_targets!$B$28</c:f>
              <c:strCache>
                <c:ptCount val="1"/>
                <c:pt idx="0">
                  <c:v>Trajectory emissions (tCO2e/[unit])</c:v>
                </c:pt>
              </c:strCache>
            </c:strRef>
          </c:tx>
          <c:spPr>
            <a:solidFill>
              <a:schemeClr val="bg1">
                <a:lumMod val="85000"/>
              </a:schemeClr>
            </a:solidFill>
            <a:ln>
              <a:noFill/>
            </a:ln>
            <a:effectLst/>
          </c:spPr>
          <c:invertIfNegative val="0"/>
          <c:dPt>
            <c:idx val="0"/>
            <c:invertIfNegative val="0"/>
            <c:bubble3D val="0"/>
            <c:spPr>
              <a:solidFill>
                <a:schemeClr val="tx1">
                  <a:lumMod val="50000"/>
                  <a:lumOff val="50000"/>
                </a:schemeClr>
              </a:solidFill>
              <a:ln>
                <a:noFill/>
              </a:ln>
              <a:effectLst/>
            </c:spPr>
            <c:extLst>
              <c:ext xmlns:c16="http://schemas.microsoft.com/office/drawing/2014/chart" uri="{C3380CC4-5D6E-409C-BE32-E72D297353CC}">
                <c16:uniqueId val="{00000003-EC55-433F-A9A2-4DFB46F4ABC0}"/>
              </c:ext>
            </c:extLst>
          </c:dPt>
          <c:dPt>
            <c:idx val="10"/>
            <c:invertIfNegative val="0"/>
            <c:bubble3D val="0"/>
            <c:spPr>
              <a:solidFill>
                <a:schemeClr val="tx1">
                  <a:lumMod val="50000"/>
                  <a:lumOff val="50000"/>
                </a:schemeClr>
              </a:solidFill>
              <a:ln>
                <a:noFill/>
              </a:ln>
              <a:effectLst/>
            </c:spPr>
            <c:extLst>
              <c:ext xmlns:c16="http://schemas.microsoft.com/office/drawing/2014/chart" uri="{C3380CC4-5D6E-409C-BE32-E72D297353CC}">
                <c16:uniqueId val="{00000004-EC55-433F-A9A2-4DFB46F4ABC0}"/>
              </c:ext>
            </c:extLst>
          </c:dPt>
          <c:cat>
            <c:numRef>
              <c:f>Intensity_targets!$C$27:$M$27</c:f>
              <c:numCache>
                <c:formatCode>General</c:formatCode>
                <c:ptCount val="11"/>
                <c:pt idx="0">
                  <c:v>2020</c:v>
                </c:pt>
                <c:pt idx="1">
                  <c:v>2021</c:v>
                </c:pt>
                <c:pt idx="2">
                  <c:v>2022</c:v>
                </c:pt>
                <c:pt idx="3">
                  <c:v>2023</c:v>
                </c:pt>
                <c:pt idx="4">
                  <c:v>2024</c:v>
                </c:pt>
                <c:pt idx="5">
                  <c:v>2025</c:v>
                </c:pt>
                <c:pt idx="6">
                  <c:v>2026</c:v>
                </c:pt>
                <c:pt idx="7">
                  <c:v>2027</c:v>
                </c:pt>
                <c:pt idx="8">
                  <c:v>2028</c:v>
                </c:pt>
                <c:pt idx="9">
                  <c:v>2029</c:v>
                </c:pt>
                <c:pt idx="10">
                  <c:v>2030</c:v>
                </c:pt>
              </c:numCache>
            </c:numRef>
          </c:cat>
          <c:val>
            <c:numRef>
              <c:f>Intensity_targets!$C$28:$M$28</c:f>
              <c:numCache>
                <c:formatCode>0.00</c:formatCode>
                <c:ptCount val="11"/>
                <c:pt idx="0">
                  <c:v>8</c:v>
                </c:pt>
                <c:pt idx="1">
                  <c:v>7.5872000000000002</c:v>
                </c:pt>
                <c:pt idx="2">
                  <c:v>7.1744000000000003</c:v>
                </c:pt>
                <c:pt idx="3">
                  <c:v>6.7615999999999996</c:v>
                </c:pt>
                <c:pt idx="4">
                  <c:v>6.3487999999999998</c:v>
                </c:pt>
                <c:pt idx="5">
                  <c:v>5.9359999999999999</c:v>
                </c:pt>
                <c:pt idx="6">
                  <c:v>5.5232000000000001</c:v>
                </c:pt>
                <c:pt idx="7">
                  <c:v>5.1104000000000003</c:v>
                </c:pt>
                <c:pt idx="8">
                  <c:v>4.6975999999999996</c:v>
                </c:pt>
                <c:pt idx="9">
                  <c:v>4.2847999999999997</c:v>
                </c:pt>
                <c:pt idx="10">
                  <c:v>3.8719999999999999</c:v>
                </c:pt>
              </c:numCache>
            </c:numRef>
          </c:val>
          <c:extLst>
            <c:ext xmlns:c16="http://schemas.microsoft.com/office/drawing/2014/chart" uri="{C3380CC4-5D6E-409C-BE32-E72D297353CC}">
              <c16:uniqueId val="{00000000-EC55-433F-A9A2-4DFB46F4ABC0}"/>
            </c:ext>
          </c:extLst>
        </c:ser>
        <c:ser>
          <c:idx val="2"/>
          <c:order val="1"/>
          <c:tx>
            <c:strRef>
              <c:f>Intensity_targets!$B$30</c:f>
              <c:strCache>
                <c:ptCount val="1"/>
                <c:pt idx="0">
                  <c:v>Emissions gap (tCO2e/[unit])</c:v>
                </c:pt>
              </c:strCache>
            </c:strRef>
          </c:tx>
          <c:spPr>
            <a:solidFill>
              <a:schemeClr val="accent3"/>
            </a:solidFill>
            <a:ln>
              <a:noFill/>
            </a:ln>
            <a:effectLst/>
          </c:spPr>
          <c:invertIfNegative val="0"/>
          <c:cat>
            <c:numRef>
              <c:f>Intensity_targets!$C$27:$M$27</c:f>
              <c:numCache>
                <c:formatCode>General</c:formatCode>
                <c:ptCount val="11"/>
                <c:pt idx="0">
                  <c:v>2020</c:v>
                </c:pt>
                <c:pt idx="1">
                  <c:v>2021</c:v>
                </c:pt>
                <c:pt idx="2">
                  <c:v>2022</c:v>
                </c:pt>
                <c:pt idx="3">
                  <c:v>2023</c:v>
                </c:pt>
                <c:pt idx="4">
                  <c:v>2024</c:v>
                </c:pt>
                <c:pt idx="5">
                  <c:v>2025</c:v>
                </c:pt>
                <c:pt idx="6">
                  <c:v>2026</c:v>
                </c:pt>
                <c:pt idx="7">
                  <c:v>2027</c:v>
                </c:pt>
                <c:pt idx="8">
                  <c:v>2028</c:v>
                </c:pt>
                <c:pt idx="9">
                  <c:v>2029</c:v>
                </c:pt>
                <c:pt idx="10">
                  <c:v>2030</c:v>
                </c:pt>
              </c:numCache>
            </c:numRef>
          </c:cat>
          <c:val>
            <c:numRef>
              <c:f>Intensity_targets!$C$30:$M$30</c:f>
              <c:numCache>
                <c:formatCode>0.00</c:formatCode>
                <c:ptCount val="11"/>
                <c:pt idx="1">
                  <c:v>0</c:v>
                </c:pt>
                <c:pt idx="2">
                  <c:v>0.71744000000000074</c:v>
                </c:pt>
                <c:pt idx="3">
                  <c:v>1.0142399999999991</c:v>
                </c:pt>
                <c:pt idx="4">
                  <c:v>1.2697599999999998</c:v>
                </c:pt>
                <c:pt idx="5">
                  <c:v>1.4246400000000001</c:v>
                </c:pt>
                <c:pt idx="6">
                  <c:v>1.1046399999999998</c:v>
                </c:pt>
                <c:pt idx="7">
                  <c:v>0.76655999999999924</c:v>
                </c:pt>
                <c:pt idx="8">
                  <c:v>0.46975999999999996</c:v>
                </c:pt>
                <c:pt idx="9">
                  <c:v>0.21424000000000021</c:v>
                </c:pt>
                <c:pt idx="10">
                  <c:v>0</c:v>
                </c:pt>
              </c:numCache>
            </c:numRef>
          </c:val>
          <c:extLst>
            <c:ext xmlns:c16="http://schemas.microsoft.com/office/drawing/2014/chart" uri="{C3380CC4-5D6E-409C-BE32-E72D297353CC}">
              <c16:uniqueId val="{00000002-EC55-433F-A9A2-4DFB46F4ABC0}"/>
            </c:ext>
          </c:extLst>
        </c:ser>
        <c:dLbls>
          <c:showLegendKey val="0"/>
          <c:showVal val="0"/>
          <c:showCatName val="0"/>
          <c:showSerName val="0"/>
          <c:showPercent val="0"/>
          <c:showBubbleSize val="0"/>
        </c:dLbls>
        <c:gapWidth val="150"/>
        <c:overlap val="100"/>
        <c:axId val="1212581104"/>
        <c:axId val="746063408"/>
      </c:barChart>
      <c:catAx>
        <c:axId val="1212581104"/>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46063408"/>
        <c:crosses val="autoZero"/>
        <c:auto val="1"/>
        <c:lblAlgn val="ctr"/>
        <c:lblOffset val="100"/>
        <c:noMultiLvlLbl val="0"/>
      </c:catAx>
      <c:valAx>
        <c:axId val="746063408"/>
        <c:scaling>
          <c:orientation val="minMax"/>
        </c:scaling>
        <c:delete val="0"/>
        <c:axPos val="l"/>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GB"/>
                  <a:t>tCO</a:t>
                </a:r>
                <a:r>
                  <a:rPr lang="en-GB" baseline="-25000"/>
                  <a:t>2</a:t>
                </a:r>
                <a:r>
                  <a:rPr lang="en-GB"/>
                  <a:t>e</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212581104"/>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32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32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_rels/drawing2.xml.rels><?xml version="1.0" encoding="UTF-8" standalone="yes"?>
<Relationships xmlns="http://schemas.openxmlformats.org/package/2006/relationships"><Relationship Id="rId1" Type="http://schemas.openxmlformats.org/officeDocument/2006/relationships/chart" Target="../charts/chart2.xml"/></Relationships>
</file>

<file path=xl/drawings/_rels/drawing3.xml.rels><?xml version="1.0" encoding="UTF-8" standalone="yes"?>
<Relationships xmlns="http://schemas.openxmlformats.org/package/2006/relationships"><Relationship Id="rId2" Type="http://schemas.openxmlformats.org/officeDocument/2006/relationships/chart" Target="../charts/chart4.xml"/><Relationship Id="rId1" Type="http://schemas.openxmlformats.org/officeDocument/2006/relationships/chart" Target="../charts/chart3.xml"/></Relationships>
</file>

<file path=xl/drawings/drawing1.xml><?xml version="1.0" encoding="utf-8"?>
<xdr:wsDr xmlns:xdr="http://schemas.openxmlformats.org/drawingml/2006/spreadsheetDrawing" xmlns:a="http://schemas.openxmlformats.org/drawingml/2006/main">
  <xdr:twoCellAnchor>
    <xdr:from>
      <xdr:col>2</xdr:col>
      <xdr:colOff>187216</xdr:colOff>
      <xdr:row>13</xdr:row>
      <xdr:rowOff>103134</xdr:rowOff>
    </xdr:from>
    <xdr:to>
      <xdr:col>5</xdr:col>
      <xdr:colOff>321879</xdr:colOff>
      <xdr:row>24</xdr:row>
      <xdr:rowOff>98533</xdr:rowOff>
    </xdr:to>
    <xdr:graphicFrame macro="">
      <xdr:nvGraphicFramePr>
        <xdr:cNvPr id="2" name="Chart 1">
          <a:extLst>
            <a:ext uri="{FF2B5EF4-FFF2-40B4-BE49-F238E27FC236}">
              <a16:creationId xmlns:a16="http://schemas.microsoft.com/office/drawing/2014/main" id="{F751B5F2-374D-4594-A743-241AACFB8A9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xml><?xml version="1.0" encoding="utf-8"?>
<xdr:wsDr xmlns:xdr="http://schemas.openxmlformats.org/drawingml/2006/spreadsheetDrawing" xmlns:a="http://schemas.openxmlformats.org/drawingml/2006/main">
  <xdr:twoCellAnchor>
    <xdr:from>
      <xdr:col>4</xdr:col>
      <xdr:colOff>557893</xdr:colOff>
      <xdr:row>36</xdr:row>
      <xdr:rowOff>192429</xdr:rowOff>
    </xdr:from>
    <xdr:to>
      <xdr:col>12</xdr:col>
      <xdr:colOff>952501</xdr:colOff>
      <xdr:row>54</xdr:row>
      <xdr:rowOff>46691</xdr:rowOff>
    </xdr:to>
    <xdr:graphicFrame macro="">
      <xdr:nvGraphicFramePr>
        <xdr:cNvPr id="3" name="Chart 2">
          <a:extLst>
            <a:ext uri="{FF2B5EF4-FFF2-40B4-BE49-F238E27FC236}">
              <a16:creationId xmlns:a16="http://schemas.microsoft.com/office/drawing/2014/main" id="{C2755F63-2C92-40A8-925C-F628B8D330F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0</xdr:col>
      <xdr:colOff>571500</xdr:colOff>
      <xdr:row>39</xdr:row>
      <xdr:rowOff>0</xdr:rowOff>
    </xdr:from>
    <xdr:to>
      <xdr:col>1</xdr:col>
      <xdr:colOff>2198304</xdr:colOff>
      <xdr:row>39</xdr:row>
      <xdr:rowOff>0</xdr:rowOff>
    </xdr:to>
    <xdr:graphicFrame macro="">
      <xdr:nvGraphicFramePr>
        <xdr:cNvPr id="2" name="Chart 1">
          <a:extLst>
            <a:ext uri="{FF2B5EF4-FFF2-40B4-BE49-F238E27FC236}">
              <a16:creationId xmlns:a16="http://schemas.microsoft.com/office/drawing/2014/main" id="{E89CE736-1AAA-48B7-AB75-49E33E463C8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3</xdr:col>
      <xdr:colOff>555332</xdr:colOff>
      <xdr:row>37</xdr:row>
      <xdr:rowOff>52534</xdr:rowOff>
    </xdr:from>
    <xdr:to>
      <xdr:col>12</xdr:col>
      <xdr:colOff>616324</xdr:colOff>
      <xdr:row>54</xdr:row>
      <xdr:rowOff>11766</xdr:rowOff>
    </xdr:to>
    <xdr:graphicFrame macro="">
      <xdr:nvGraphicFramePr>
        <xdr:cNvPr id="5" name="Chart 4">
          <a:extLst>
            <a:ext uri="{FF2B5EF4-FFF2-40B4-BE49-F238E27FC236}">
              <a16:creationId xmlns:a16="http://schemas.microsoft.com/office/drawing/2014/main" id="{FF76CCB8-5F7B-5530-8BAB-DA9648FB68FA}"/>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persons/person.xml><?xml version="1.0" encoding="utf-8"?>
<personList xmlns="http://schemas.microsoft.com/office/spreadsheetml/2018/threadedcomments" xmlns:x="http://schemas.openxmlformats.org/spreadsheetml/2006/main">
  <person displayName="França, Ephraim" id="{1B62C2FB-503A-4352-8188-8A75C141596A}" userId="S::ephraim.franca@accenture.com::6bcf39b4-f82c-468a-9dd1-c8b9be591b36" providerId="AD"/>
</personList>
</file>

<file path=xl/richData/_rels/richValueRel.xml.rels><?xml version="1.0" encoding="UTF-8" standalone="yes"?>
<Relationships xmlns="http://schemas.openxmlformats.org/package/2006/relationships"><Relationship Id="rId1" Type="http://schemas.openxmlformats.org/officeDocument/2006/relationships/image" Target="../media/image1.png"/></Relationships>
</file>

<file path=xl/richData/rdRichValueTypes.xml><?xml version="1.0" encoding="utf-8"?>
<rvTypesInfo xmlns="http://schemas.microsoft.com/office/spreadsheetml/2017/richdata2" xmlns:mc="http://schemas.openxmlformats.org/markup-compatibility/2006" xmlns:x="http://schemas.openxmlformats.org/spreadsheetml/2006/main" mc:Ignorable="x">
  <global>
    <keyFlags>
      <key name="_Self">
        <flag name="ExcludeFromFile" value="1"/>
        <flag name="ExcludeFromCalcComparison" value="1"/>
      </key>
      <key name="_DisplayString">
        <flag name="ExcludeFromCalcComparison" value="1"/>
      </key>
      <key name="_Flags">
        <flag name="ExcludeFromCalcComparison" value="1"/>
      </key>
      <key name="_Format">
        <flag name="ExcludeFromCalcComparison" value="1"/>
      </key>
      <key name="_SubLabel">
        <flag name="ExcludeFromCalcComparison" value="1"/>
      </key>
      <key name="_Attribution">
        <flag name="ExcludeFromCalcComparison" value="1"/>
      </key>
      <key name="_Icon">
        <flag name="ExcludeFromCalcComparison" value="1"/>
      </key>
      <key name="_Display">
        <flag name="ExcludeFromCalcComparison" value="1"/>
      </key>
      <key name="_CanonicalPropertyNames">
        <flag name="ExcludeFromCalcComparison" value="1"/>
      </key>
      <key name="_ClassificationId">
        <flag name="ExcludeFromCalcComparison" value="1"/>
      </key>
    </keyFlags>
  </global>
</rvTypesInfo>
</file>

<file path=xl/richData/rdrichvalue.xml><?xml version="1.0" encoding="utf-8"?>
<rvData xmlns="http://schemas.microsoft.com/office/spreadsheetml/2017/richdata" count="1">
  <rv s="0">
    <v>0</v>
    <v>5</v>
  </rv>
</rvData>
</file>

<file path=xl/richData/rdrichvaluestructure.xml><?xml version="1.0" encoding="utf-8"?>
<rvStructures xmlns="http://schemas.microsoft.com/office/spreadsheetml/2017/richdata" count="1">
  <s t="_localImage">
    <k n="_rvRel:LocalImageIdentifier" t="i"/>
    <k n="CalcOrigin" t="i"/>
  </s>
</rvStructures>
</file>

<file path=xl/richData/richValueRel.xml><?xml version="1.0" encoding="utf-8"?>
<richValueRels xmlns="http://schemas.microsoft.com/office/spreadsheetml/2022/richvaluerel" xmlns:r="http://schemas.openxmlformats.org/officeDocument/2006/relationships">
  <rel r:id="rId1"/>
</richValueRel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threadedComments/threadedComment1.xml><?xml version="1.0" encoding="utf-8"?>
<ThreadedComments xmlns="http://schemas.microsoft.com/office/spreadsheetml/2018/threadedcomments" xmlns:x="http://schemas.openxmlformats.org/spreadsheetml/2006/main">
  <threadedComment ref="G2" dT="2024-12-12T20:06:33.71" personId="{1B62C2FB-503A-4352-8188-8A75C141596A}" id="{13CD12C2-5060-45BD-9969-D455164829CF}">
    <text>Changed base year to 2020.</text>
  </threadedComment>
</ThreadedComments>
</file>

<file path=xl/worksheets/_rels/sheet4.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6.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drawing" Target="../drawings/drawing2.xml"/></Relationships>
</file>

<file path=xl/worksheets/_rels/sheet7.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drawing" Target="../drawings/drawing3.xml"/></Relationships>
</file>

<file path=xl/worksheets/_rels/sheet8.xml.rels><?xml version="1.0" encoding="UTF-8" standalone="yes"?>
<Relationships xmlns="http://schemas.openxmlformats.org/package/2006/relationships"><Relationship Id="rId3" Type="http://schemas.microsoft.com/office/2017/10/relationships/threadedComment" Target="../threadedComments/threadedComment1.xml"/><Relationship Id="rId2" Type="http://schemas.openxmlformats.org/officeDocument/2006/relationships/comments" Target="../comments3.xml"/><Relationship Id="rId1" Type="http://schemas.openxmlformats.org/officeDocument/2006/relationships/vmlDrawing" Target="../drawings/vmlDrawing3.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605E79F-954F-4C98-96AA-9910F366F174}">
  <dimension ref="B7:P21"/>
  <sheetViews>
    <sheetView topLeftCell="B9" zoomScale="145" zoomScaleNormal="145" workbookViewId="0">
      <selection activeCell="G16" sqref="G16"/>
    </sheetView>
  </sheetViews>
  <sheetFormatPr defaultRowHeight="14.5" x14ac:dyDescent="0.35"/>
  <cols>
    <col min="2" max="2" width="29.26953125" customWidth="1"/>
    <col min="15" max="15" width="20.453125" customWidth="1"/>
  </cols>
  <sheetData>
    <row r="7" spans="2:16" x14ac:dyDescent="0.35">
      <c r="B7" t="s">
        <v>0</v>
      </c>
    </row>
    <row r="8" spans="2:16" ht="22.5" x14ac:dyDescent="0.35">
      <c r="E8" s="1">
        <v>842</v>
      </c>
      <c r="F8" s="1">
        <v>950</v>
      </c>
      <c r="G8" s="1">
        <v>820</v>
      </c>
      <c r="H8" s="1">
        <v>895</v>
      </c>
      <c r="I8" s="1">
        <v>800</v>
      </c>
      <c r="J8" s="1">
        <v>785</v>
      </c>
      <c r="K8" s="1">
        <v>733</v>
      </c>
      <c r="L8" s="1">
        <v>746</v>
      </c>
      <c r="M8" s="2"/>
    </row>
    <row r="9" spans="2:16" x14ac:dyDescent="0.35">
      <c r="E9" s="3">
        <v>742</v>
      </c>
      <c r="F9" s="3">
        <v>724</v>
      </c>
      <c r="G9" s="3">
        <v>706</v>
      </c>
      <c r="H9" s="3">
        <v>688</v>
      </c>
      <c r="I9" s="3">
        <v>671</v>
      </c>
      <c r="J9" s="3">
        <v>654</v>
      </c>
      <c r="K9" s="3">
        <v>638</v>
      </c>
      <c r="L9" s="3">
        <v>622</v>
      </c>
      <c r="M9" s="3">
        <v>606</v>
      </c>
    </row>
    <row r="10" spans="2:16" x14ac:dyDescent="0.35">
      <c r="F10">
        <f>F9-G9</f>
        <v>18</v>
      </c>
      <c r="G10">
        <f t="shared" ref="G10:M10" si="0">G9-H9</f>
        <v>18</v>
      </c>
      <c r="H10">
        <f t="shared" si="0"/>
        <v>17</v>
      </c>
      <c r="I10">
        <f t="shared" si="0"/>
        <v>17</v>
      </c>
      <c r="J10">
        <f t="shared" si="0"/>
        <v>16</v>
      </c>
      <c r="K10">
        <f t="shared" si="0"/>
        <v>16</v>
      </c>
      <c r="L10">
        <f t="shared" si="0"/>
        <v>16</v>
      </c>
      <c r="M10">
        <f t="shared" si="0"/>
        <v>606</v>
      </c>
    </row>
    <row r="11" spans="2:16" x14ac:dyDescent="0.35">
      <c r="F11">
        <f>F10/F9</f>
        <v>2.4861878453038673E-2</v>
      </c>
      <c r="G11">
        <f t="shared" ref="G11:L11" si="1">G10/G9</f>
        <v>2.5495750708215296E-2</v>
      </c>
      <c r="H11">
        <f t="shared" si="1"/>
        <v>2.4709302325581394E-2</v>
      </c>
      <c r="I11">
        <f t="shared" si="1"/>
        <v>2.533532041728763E-2</v>
      </c>
      <c r="J11">
        <f t="shared" si="1"/>
        <v>2.4464831804281346E-2</v>
      </c>
      <c r="K11">
        <f t="shared" si="1"/>
        <v>2.5078369905956112E-2</v>
      </c>
      <c r="L11">
        <f t="shared" si="1"/>
        <v>2.5723472668810289E-2</v>
      </c>
    </row>
    <row r="14" spans="2:16" x14ac:dyDescent="0.35">
      <c r="B14" t="s">
        <v>1</v>
      </c>
      <c r="C14" s="7">
        <v>2020</v>
      </c>
      <c r="D14" s="7">
        <v>2021</v>
      </c>
      <c r="E14" s="7">
        <v>2022</v>
      </c>
      <c r="F14" s="7">
        <v>2023</v>
      </c>
      <c r="G14" s="7">
        <v>2024</v>
      </c>
      <c r="H14" s="7">
        <v>2025</v>
      </c>
      <c r="I14" s="7">
        <v>2026</v>
      </c>
      <c r="J14" s="7">
        <v>2027</v>
      </c>
      <c r="K14" s="7">
        <v>2028</v>
      </c>
      <c r="L14" s="7">
        <v>2029</v>
      </c>
      <c r="M14">
        <v>2030</v>
      </c>
    </row>
    <row r="15" spans="2:16" x14ac:dyDescent="0.35">
      <c r="B15" t="s">
        <v>2</v>
      </c>
      <c r="C15" s="7">
        <v>800</v>
      </c>
      <c r="D15" s="7">
        <f>$C$15*(1-((D14-$C$14)/($M$14-$C$14))*0.25)</f>
        <v>780</v>
      </c>
      <c r="E15" s="7">
        <f t="shared" ref="E15:L15" si="2">$C$15*(1-((E14-$C$14)/($M$14-$C$14))*0.25)</f>
        <v>760</v>
      </c>
      <c r="F15" s="7">
        <f t="shared" si="2"/>
        <v>740</v>
      </c>
      <c r="G15" s="7">
        <f t="shared" si="2"/>
        <v>720</v>
      </c>
      <c r="H15" s="7">
        <f t="shared" si="2"/>
        <v>700</v>
      </c>
      <c r="I15" s="7">
        <f t="shared" si="2"/>
        <v>680</v>
      </c>
      <c r="J15" s="7">
        <f t="shared" si="2"/>
        <v>660</v>
      </c>
      <c r="K15" s="7">
        <f t="shared" si="2"/>
        <v>640</v>
      </c>
      <c r="L15" s="7">
        <f t="shared" si="2"/>
        <v>620</v>
      </c>
      <c r="M15">
        <f>C15*0.75</f>
        <v>600</v>
      </c>
      <c r="O15" t="s">
        <v>3</v>
      </c>
      <c r="P15">
        <f>SUM(E15:L15)</f>
        <v>5520</v>
      </c>
    </row>
    <row r="16" spans="2:16" x14ac:dyDescent="0.35">
      <c r="B16" t="s">
        <v>4</v>
      </c>
      <c r="E16">
        <v>842</v>
      </c>
      <c r="F16">
        <v>950</v>
      </c>
      <c r="G16">
        <v>820</v>
      </c>
      <c r="H16">
        <v>895</v>
      </c>
      <c r="I16">
        <v>800</v>
      </c>
      <c r="J16">
        <v>785</v>
      </c>
      <c r="K16">
        <v>733</v>
      </c>
      <c r="L16">
        <v>746</v>
      </c>
      <c r="O16" t="s">
        <v>5</v>
      </c>
      <c r="P16">
        <f>P15*0.24</f>
        <v>1324.8</v>
      </c>
    </row>
    <row r="17" spans="2:12" x14ac:dyDescent="0.35">
      <c r="B17" t="s">
        <v>6</v>
      </c>
      <c r="E17" s="4">
        <f>E16-E15</f>
        <v>82</v>
      </c>
      <c r="F17" s="4">
        <f t="shared" ref="F17:L17" si="3">F16-F15</f>
        <v>210</v>
      </c>
      <c r="G17" s="4">
        <f t="shared" si="3"/>
        <v>100</v>
      </c>
      <c r="H17" s="4">
        <f t="shared" si="3"/>
        <v>195</v>
      </c>
      <c r="I17" s="4">
        <f t="shared" si="3"/>
        <v>120</v>
      </c>
      <c r="J17" s="4">
        <f t="shared" si="3"/>
        <v>125</v>
      </c>
      <c r="K17" s="4">
        <f t="shared" si="3"/>
        <v>93</v>
      </c>
      <c r="L17" s="4">
        <f t="shared" si="3"/>
        <v>126</v>
      </c>
    </row>
    <row r="18" spans="2:12" x14ac:dyDescent="0.35">
      <c r="E18" s="5">
        <f>E17/E15</f>
        <v>0.10789473684210527</v>
      </c>
      <c r="F18" s="5">
        <f t="shared" ref="F18:L18" si="4">F17/F15</f>
        <v>0.28378378378378377</v>
      </c>
      <c r="G18" s="5">
        <f t="shared" si="4"/>
        <v>0.1388888888888889</v>
      </c>
      <c r="H18" s="5">
        <f t="shared" si="4"/>
        <v>0.27857142857142858</v>
      </c>
      <c r="I18" s="5">
        <f t="shared" si="4"/>
        <v>0.17647058823529413</v>
      </c>
      <c r="J18" s="5">
        <f t="shared" si="4"/>
        <v>0.18939393939393939</v>
      </c>
      <c r="K18" s="5">
        <f t="shared" si="4"/>
        <v>0.14531250000000001</v>
      </c>
      <c r="L18" s="5">
        <f t="shared" si="4"/>
        <v>0.20322580645161289</v>
      </c>
    </row>
    <row r="19" spans="2:12" x14ac:dyDescent="0.35">
      <c r="B19" t="s">
        <v>7</v>
      </c>
      <c r="E19" s="4">
        <f>$P$16-E17</f>
        <v>1242.8</v>
      </c>
      <c r="F19" s="4">
        <f>E19-F17</f>
        <v>1032.8</v>
      </c>
      <c r="G19" s="4">
        <f t="shared" ref="G19:L19" si="5">F19-G17</f>
        <v>932.8</v>
      </c>
      <c r="H19" s="4">
        <f t="shared" si="5"/>
        <v>737.8</v>
      </c>
      <c r="I19" s="4">
        <f t="shared" si="5"/>
        <v>617.79999999999995</v>
      </c>
      <c r="J19" s="4">
        <f t="shared" si="5"/>
        <v>492.79999999999995</v>
      </c>
      <c r="K19" s="4">
        <f t="shared" si="5"/>
        <v>399.79999999999995</v>
      </c>
      <c r="L19" s="4">
        <f t="shared" si="5"/>
        <v>273.79999999999995</v>
      </c>
    </row>
    <row r="20" spans="2:12" x14ac:dyDescent="0.35">
      <c r="B20" t="s">
        <v>8</v>
      </c>
      <c r="E20" s="4">
        <f>($P$15-(SUM($E$15:E15)))*0.24</f>
        <v>1142.3999999999999</v>
      </c>
      <c r="F20" s="4">
        <f>($P$15-(SUM($E$15:F15)))*0.24</f>
        <v>964.8</v>
      </c>
      <c r="G20" s="4">
        <f>($P$15-(SUM($E$15:G15)))*0.24</f>
        <v>792</v>
      </c>
      <c r="H20" s="4">
        <f>($P$15-(SUM($E$15:H15)))*0.24</f>
        <v>624</v>
      </c>
      <c r="I20" s="4">
        <f>($P$15-(SUM($E$15:I15)))*0.24</f>
        <v>460.79999999999995</v>
      </c>
      <c r="J20" s="4">
        <f>($P$15-(SUM($E$15:J15)))*0.24</f>
        <v>302.39999999999998</v>
      </c>
      <c r="K20" s="4">
        <f>($P$15-(SUM($E$15:K15)))*0.24</f>
        <v>148.79999999999998</v>
      </c>
      <c r="L20" s="4">
        <f>($P$15-(SUM($E$15:L15)))*0.24</f>
        <v>0</v>
      </c>
    </row>
    <row r="21" spans="2:12" x14ac:dyDescent="0.35">
      <c r="B21" t="s">
        <v>9</v>
      </c>
      <c r="E21" s="6" t="b">
        <f>E19&gt;E20</f>
        <v>1</v>
      </c>
      <c r="F21" s="6" t="b">
        <f t="shared" ref="F21:L21" si="6">F19&gt;F20</f>
        <v>1</v>
      </c>
      <c r="G21" s="6" t="b">
        <f t="shared" si="6"/>
        <v>1</v>
      </c>
      <c r="H21" s="6" t="b">
        <f t="shared" si="6"/>
        <v>1</v>
      </c>
      <c r="I21" s="6" t="b">
        <f t="shared" si="6"/>
        <v>1</v>
      </c>
      <c r="J21" s="6" t="b">
        <f t="shared" si="6"/>
        <v>1</v>
      </c>
      <c r="K21" s="6" t="b">
        <f t="shared" si="6"/>
        <v>1</v>
      </c>
      <c r="L21" s="6" t="b">
        <f t="shared" si="6"/>
        <v>1</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B256892-634A-4B0C-8296-84C674F6E5C5}">
  <dimension ref="B7:P21"/>
  <sheetViews>
    <sheetView topLeftCell="B9" zoomScale="145" zoomScaleNormal="145" workbookViewId="0">
      <selection activeCell="F16" sqref="F16"/>
    </sheetView>
  </sheetViews>
  <sheetFormatPr defaultRowHeight="14.5" x14ac:dyDescent="0.35"/>
  <cols>
    <col min="2" max="2" width="29.26953125" customWidth="1"/>
    <col min="15" max="15" width="20.453125" customWidth="1"/>
  </cols>
  <sheetData>
    <row r="7" spans="2:16" x14ac:dyDescent="0.35">
      <c r="B7" t="s">
        <v>0</v>
      </c>
    </row>
    <row r="8" spans="2:16" ht="22.5" x14ac:dyDescent="0.35">
      <c r="E8" s="1">
        <v>842</v>
      </c>
      <c r="F8" s="1">
        <v>950</v>
      </c>
      <c r="G8" s="1">
        <v>820</v>
      </c>
      <c r="H8" s="1">
        <v>895</v>
      </c>
      <c r="I8" s="1">
        <v>800</v>
      </c>
      <c r="J8" s="1">
        <v>785</v>
      </c>
      <c r="K8" s="1">
        <v>733</v>
      </c>
      <c r="L8" s="1">
        <v>746</v>
      </c>
      <c r="M8" s="2"/>
    </row>
    <row r="9" spans="2:16" x14ac:dyDescent="0.35">
      <c r="E9" s="3">
        <v>742</v>
      </c>
      <c r="F9" s="3">
        <v>724</v>
      </c>
      <c r="G9" s="3">
        <v>706</v>
      </c>
      <c r="H9" s="3">
        <v>688</v>
      </c>
      <c r="I9" s="3">
        <v>671</v>
      </c>
      <c r="J9" s="3">
        <v>654</v>
      </c>
      <c r="K9" s="3">
        <v>638</v>
      </c>
      <c r="L9" s="3">
        <v>622</v>
      </c>
      <c r="M9" s="3">
        <v>606</v>
      </c>
    </row>
    <row r="10" spans="2:16" x14ac:dyDescent="0.35">
      <c r="F10">
        <f>F9-G9</f>
        <v>18</v>
      </c>
      <c r="G10">
        <f t="shared" ref="G10:M10" si="0">G9-H9</f>
        <v>18</v>
      </c>
      <c r="H10">
        <f t="shared" si="0"/>
        <v>17</v>
      </c>
      <c r="I10">
        <f t="shared" si="0"/>
        <v>17</v>
      </c>
      <c r="J10">
        <f t="shared" si="0"/>
        <v>16</v>
      </c>
      <c r="K10">
        <f t="shared" si="0"/>
        <v>16</v>
      </c>
      <c r="L10">
        <f t="shared" si="0"/>
        <v>16</v>
      </c>
      <c r="M10">
        <f t="shared" si="0"/>
        <v>606</v>
      </c>
    </row>
    <row r="11" spans="2:16" x14ac:dyDescent="0.35">
      <c r="F11">
        <f>F10/F9</f>
        <v>2.4861878453038673E-2</v>
      </c>
      <c r="G11">
        <f t="shared" ref="G11:L11" si="1">G10/G9</f>
        <v>2.5495750708215296E-2</v>
      </c>
      <c r="H11">
        <f t="shared" si="1"/>
        <v>2.4709302325581394E-2</v>
      </c>
      <c r="I11">
        <f t="shared" si="1"/>
        <v>2.533532041728763E-2</v>
      </c>
      <c r="J11">
        <f t="shared" si="1"/>
        <v>2.4464831804281346E-2</v>
      </c>
      <c r="K11">
        <f t="shared" si="1"/>
        <v>2.5078369905956112E-2</v>
      </c>
      <c r="L11">
        <f t="shared" si="1"/>
        <v>2.5723472668810289E-2</v>
      </c>
    </row>
    <row r="14" spans="2:16" x14ac:dyDescent="0.35">
      <c r="B14" t="s">
        <v>1</v>
      </c>
      <c r="C14" s="7">
        <v>2020</v>
      </c>
      <c r="D14" s="7">
        <v>2021</v>
      </c>
      <c r="E14" s="7">
        <v>2022</v>
      </c>
      <c r="F14" s="7">
        <v>2023</v>
      </c>
      <c r="G14" s="7">
        <v>2024</v>
      </c>
      <c r="H14" s="7">
        <v>2025</v>
      </c>
      <c r="I14" s="7">
        <v>2026</v>
      </c>
      <c r="J14" s="7">
        <v>2027</v>
      </c>
      <c r="K14" s="7">
        <v>2028</v>
      </c>
      <c r="L14" s="7">
        <v>2029</v>
      </c>
      <c r="M14">
        <v>2030</v>
      </c>
    </row>
    <row r="15" spans="2:16" x14ac:dyDescent="0.35">
      <c r="B15" t="s">
        <v>2</v>
      </c>
      <c r="C15" s="7">
        <v>800</v>
      </c>
      <c r="D15" s="7">
        <f>$C$15*(1-((D14-$C$14)/($M$14-$C$14))*0.25)</f>
        <v>780</v>
      </c>
      <c r="E15" s="7">
        <f t="shared" ref="E15:L15" si="2">$C$15*(1-((E14-$C$14)/($M$14-$C$14))*0.25)</f>
        <v>760</v>
      </c>
      <c r="F15" s="7">
        <f t="shared" si="2"/>
        <v>740</v>
      </c>
      <c r="G15" s="7">
        <f t="shared" si="2"/>
        <v>720</v>
      </c>
      <c r="H15" s="7">
        <f t="shared" si="2"/>
        <v>700</v>
      </c>
      <c r="I15" s="7">
        <f t="shared" si="2"/>
        <v>680</v>
      </c>
      <c r="J15" s="7">
        <f t="shared" si="2"/>
        <v>660</v>
      </c>
      <c r="K15" s="7">
        <f t="shared" si="2"/>
        <v>640</v>
      </c>
      <c r="L15" s="7">
        <f t="shared" si="2"/>
        <v>620</v>
      </c>
      <c r="M15">
        <f>C15*0.75</f>
        <v>600</v>
      </c>
      <c r="O15" t="s">
        <v>3</v>
      </c>
      <c r="P15">
        <f>SUM(E15:L15)</f>
        <v>5520</v>
      </c>
    </row>
    <row r="16" spans="2:16" x14ac:dyDescent="0.35">
      <c r="B16" t="s">
        <v>4</v>
      </c>
      <c r="E16">
        <v>842</v>
      </c>
      <c r="F16">
        <v>1017</v>
      </c>
      <c r="G16">
        <v>900</v>
      </c>
      <c r="H16">
        <v>895</v>
      </c>
      <c r="I16">
        <v>800</v>
      </c>
      <c r="J16">
        <v>785</v>
      </c>
      <c r="K16">
        <v>733</v>
      </c>
      <c r="L16">
        <v>746</v>
      </c>
      <c r="O16" t="s">
        <v>5</v>
      </c>
      <c r="P16">
        <f>P15*0.24</f>
        <v>1324.8</v>
      </c>
    </row>
    <row r="17" spans="2:12" x14ac:dyDescent="0.35">
      <c r="B17" t="s">
        <v>6</v>
      </c>
      <c r="E17" s="4">
        <f>E16-E15</f>
        <v>82</v>
      </c>
      <c r="F17" s="4">
        <f t="shared" ref="F17:L17" si="3">F16-F15</f>
        <v>277</v>
      </c>
      <c r="G17" s="4">
        <f t="shared" si="3"/>
        <v>180</v>
      </c>
      <c r="H17" s="4">
        <f t="shared" si="3"/>
        <v>195</v>
      </c>
      <c r="I17" s="4">
        <f t="shared" si="3"/>
        <v>120</v>
      </c>
      <c r="J17" s="4">
        <f t="shared" si="3"/>
        <v>125</v>
      </c>
      <c r="K17" s="4">
        <f t="shared" si="3"/>
        <v>93</v>
      </c>
      <c r="L17" s="4">
        <f t="shared" si="3"/>
        <v>126</v>
      </c>
    </row>
    <row r="18" spans="2:12" x14ac:dyDescent="0.35">
      <c r="E18" s="5">
        <f>E17/E15</f>
        <v>0.10789473684210527</v>
      </c>
      <c r="F18" s="5">
        <f t="shared" ref="F18:L18" si="4">F17/F15</f>
        <v>0.37432432432432433</v>
      </c>
      <c r="G18" s="5">
        <f t="shared" si="4"/>
        <v>0.25</v>
      </c>
      <c r="H18" s="5">
        <f t="shared" si="4"/>
        <v>0.27857142857142858</v>
      </c>
      <c r="I18" s="5">
        <f t="shared" si="4"/>
        <v>0.17647058823529413</v>
      </c>
      <c r="J18" s="5">
        <f t="shared" si="4"/>
        <v>0.18939393939393939</v>
      </c>
      <c r="K18" s="5">
        <f t="shared" si="4"/>
        <v>0.14531250000000001</v>
      </c>
      <c r="L18" s="5">
        <f t="shared" si="4"/>
        <v>0.20322580645161289</v>
      </c>
    </row>
    <row r="19" spans="2:12" x14ac:dyDescent="0.35">
      <c r="B19" t="s">
        <v>7</v>
      </c>
      <c r="E19" s="4">
        <f>$P$16-E17</f>
        <v>1242.8</v>
      </c>
      <c r="F19" s="4">
        <f>E19-F17</f>
        <v>965.8</v>
      </c>
      <c r="G19" s="4">
        <f t="shared" ref="G19:L19" si="5">F19-G17</f>
        <v>785.8</v>
      </c>
      <c r="H19" s="4">
        <f t="shared" si="5"/>
        <v>590.79999999999995</v>
      </c>
      <c r="I19" s="4">
        <f t="shared" si="5"/>
        <v>470.79999999999995</v>
      </c>
      <c r="J19" s="4">
        <f t="shared" si="5"/>
        <v>345.79999999999995</v>
      </c>
      <c r="K19" s="4">
        <f t="shared" si="5"/>
        <v>252.79999999999995</v>
      </c>
      <c r="L19" s="4">
        <f t="shared" si="5"/>
        <v>126.79999999999995</v>
      </c>
    </row>
    <row r="20" spans="2:12" x14ac:dyDescent="0.35">
      <c r="B20" t="s">
        <v>8</v>
      </c>
      <c r="E20" s="4">
        <f>($P$15-(SUM($E$15:E15)))*0.24</f>
        <v>1142.3999999999999</v>
      </c>
      <c r="F20" s="4">
        <f>($P$15-(SUM($E$15:F15)))*0.24</f>
        <v>964.8</v>
      </c>
      <c r="G20" s="4">
        <f>($P$15-(SUM($E$15:G15)))*0.24</f>
        <v>792</v>
      </c>
      <c r="H20" s="4">
        <f>($P$15-(SUM($E$15:H15)))*0.24</f>
        <v>624</v>
      </c>
      <c r="I20" s="4">
        <f>($P$15-(SUM($E$15:I15)))*0.24</f>
        <v>460.79999999999995</v>
      </c>
      <c r="J20" s="4">
        <f>($P$15-(SUM($E$15:J15)))*0.24</f>
        <v>302.39999999999998</v>
      </c>
      <c r="K20" s="4">
        <f>($P$15-(SUM($E$15:K15)))*0.24</f>
        <v>148.79999999999998</v>
      </c>
      <c r="L20" s="4">
        <f>($P$15-(SUM($E$15:L15)))*0.24</f>
        <v>0</v>
      </c>
    </row>
    <row r="21" spans="2:12" x14ac:dyDescent="0.35">
      <c r="B21" t="s">
        <v>9</v>
      </c>
      <c r="E21" s="6" t="b">
        <f>E19&gt;E20</f>
        <v>1</v>
      </c>
      <c r="F21" s="6" t="b">
        <f t="shared" ref="F21:L21" si="6">F19&gt;F20</f>
        <v>1</v>
      </c>
      <c r="G21" s="6" t="b">
        <f t="shared" si="6"/>
        <v>0</v>
      </c>
      <c r="H21" s="6" t="b">
        <f t="shared" si="6"/>
        <v>0</v>
      </c>
      <c r="I21" s="6" t="b">
        <f t="shared" si="6"/>
        <v>1</v>
      </c>
      <c r="J21" s="6" t="b">
        <f t="shared" si="6"/>
        <v>1</v>
      </c>
      <c r="K21" s="6" t="b">
        <f t="shared" si="6"/>
        <v>1</v>
      </c>
      <c r="L21" s="6" t="b">
        <f t="shared" si="6"/>
        <v>1</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5F0A632-AEC8-4D82-9ABA-BA0E30A328F3}">
  <dimension ref="B3:P12"/>
  <sheetViews>
    <sheetView zoomScale="80" zoomScaleNormal="80" workbookViewId="0">
      <selection activeCell="D18" sqref="D18"/>
    </sheetView>
  </sheetViews>
  <sheetFormatPr defaultRowHeight="14.5" x14ac:dyDescent="0.35"/>
  <cols>
    <col min="2" max="2" width="37.7265625" customWidth="1"/>
    <col min="3" max="3" width="11.7265625" bestFit="1" customWidth="1"/>
    <col min="4" max="9" width="10.7265625" bestFit="1" customWidth="1"/>
    <col min="10" max="10" width="12.81640625" bestFit="1" customWidth="1"/>
    <col min="11" max="11" width="11.7265625" bestFit="1" customWidth="1"/>
    <col min="12" max="12" width="12.81640625" bestFit="1" customWidth="1"/>
    <col min="15" max="15" width="20.453125" customWidth="1"/>
  </cols>
  <sheetData>
    <row r="3" spans="2:16" x14ac:dyDescent="0.35">
      <c r="B3" t="s">
        <v>1</v>
      </c>
      <c r="C3" s="7">
        <v>2020</v>
      </c>
      <c r="D3" s="7">
        <v>2021</v>
      </c>
      <c r="E3" s="7">
        <v>2022</v>
      </c>
      <c r="F3" s="7">
        <v>2023</v>
      </c>
      <c r="G3" s="7">
        <v>2024</v>
      </c>
      <c r="H3" s="7">
        <v>2025</v>
      </c>
      <c r="I3" s="7">
        <v>2026</v>
      </c>
      <c r="J3" s="7">
        <v>2027</v>
      </c>
      <c r="K3" s="7">
        <v>2028</v>
      </c>
      <c r="L3" s="7">
        <v>2029</v>
      </c>
      <c r="M3">
        <v>2030</v>
      </c>
    </row>
    <row r="4" spans="2:16" x14ac:dyDescent="0.35">
      <c r="B4" t="s">
        <v>2</v>
      </c>
      <c r="C4" s="7">
        <v>800</v>
      </c>
      <c r="D4" s="7">
        <f>$C$4*(1-((D3-$C$3)/($M$3-$C$3))*0.25)</f>
        <v>780</v>
      </c>
      <c r="E4" s="7">
        <f t="shared" ref="E4:L4" si="0">$C$4*(1-((E3-$C$3)/($M$3-$C$3))*0.25)</f>
        <v>760</v>
      </c>
      <c r="F4" s="7">
        <f t="shared" si="0"/>
        <v>740</v>
      </c>
      <c r="G4" s="7">
        <f t="shared" si="0"/>
        <v>720</v>
      </c>
      <c r="H4" s="7">
        <f t="shared" si="0"/>
        <v>700</v>
      </c>
      <c r="I4" s="7">
        <f t="shared" si="0"/>
        <v>680</v>
      </c>
      <c r="J4" s="7">
        <f t="shared" si="0"/>
        <v>660</v>
      </c>
      <c r="K4" s="7">
        <f t="shared" si="0"/>
        <v>640</v>
      </c>
      <c r="L4" s="7">
        <f t="shared" si="0"/>
        <v>620</v>
      </c>
      <c r="M4">
        <f>C4*0.75</f>
        <v>600</v>
      </c>
      <c r="O4" t="s">
        <v>3</v>
      </c>
      <c r="P4">
        <f>SUM(E4:L4)</f>
        <v>5520</v>
      </c>
    </row>
    <row r="5" spans="2:16" x14ac:dyDescent="0.35">
      <c r="B5" t="s">
        <v>4</v>
      </c>
      <c r="E5">
        <v>800</v>
      </c>
      <c r="F5">
        <f>F4*1.23</f>
        <v>910.19999999999993</v>
      </c>
      <c r="G5">
        <f>G4*1.4</f>
        <v>1007.9999999999999</v>
      </c>
      <c r="H5">
        <f t="shared" ref="H5:L5" si="1">H4*1.24</f>
        <v>868</v>
      </c>
      <c r="I5">
        <f t="shared" si="1"/>
        <v>843.2</v>
      </c>
      <c r="J5">
        <f>J4*1.1</f>
        <v>726.00000000000011</v>
      </c>
      <c r="K5">
        <f t="shared" si="1"/>
        <v>793.6</v>
      </c>
      <c r="L5">
        <f t="shared" si="1"/>
        <v>768.8</v>
      </c>
      <c r="O5" t="s">
        <v>5</v>
      </c>
      <c r="P5">
        <f>P4*0.24</f>
        <v>1324.8</v>
      </c>
    </row>
    <row r="6" spans="2:16" x14ac:dyDescent="0.35">
      <c r="B6" t="s">
        <v>10</v>
      </c>
      <c r="E6" s="4">
        <f>E5-E4</f>
        <v>40</v>
      </c>
      <c r="F6" s="4">
        <f t="shared" ref="F6:L6" si="2">F5-F4</f>
        <v>170.19999999999993</v>
      </c>
      <c r="G6" s="4">
        <f t="shared" si="2"/>
        <v>287.99999999999989</v>
      </c>
      <c r="H6" s="4">
        <f t="shared" si="2"/>
        <v>168</v>
      </c>
      <c r="I6" s="4">
        <f t="shared" si="2"/>
        <v>163.20000000000005</v>
      </c>
      <c r="J6" s="4">
        <f t="shared" si="2"/>
        <v>66.000000000000114</v>
      </c>
      <c r="K6" s="4">
        <f t="shared" si="2"/>
        <v>153.60000000000002</v>
      </c>
      <c r="L6" s="4">
        <f t="shared" si="2"/>
        <v>148.79999999999995</v>
      </c>
    </row>
    <row r="7" spans="2:16" x14ac:dyDescent="0.35">
      <c r="B7" t="s">
        <v>11</v>
      </c>
      <c r="E7" s="5">
        <f>E6/E4</f>
        <v>5.2631578947368418E-2</v>
      </c>
      <c r="F7" s="5">
        <f t="shared" ref="F7:L7" si="3">F6/F4</f>
        <v>0.2299999999999999</v>
      </c>
      <c r="G7" s="5">
        <f t="shared" si="3"/>
        <v>0.39999999999999986</v>
      </c>
      <c r="H7" s="5">
        <f t="shared" si="3"/>
        <v>0.24</v>
      </c>
      <c r="I7" s="5">
        <f t="shared" si="3"/>
        <v>0.24000000000000007</v>
      </c>
      <c r="J7" s="5">
        <f t="shared" si="3"/>
        <v>0.10000000000000017</v>
      </c>
      <c r="K7" s="5">
        <f t="shared" si="3"/>
        <v>0.24000000000000005</v>
      </c>
      <c r="L7" s="5">
        <f t="shared" si="3"/>
        <v>0.23999999999999994</v>
      </c>
    </row>
    <row r="8" spans="2:16" x14ac:dyDescent="0.35">
      <c r="B8" t="s">
        <v>12</v>
      </c>
      <c r="E8" s="5">
        <f>0.24</f>
        <v>0.24</v>
      </c>
      <c r="F8" s="5">
        <f>0.24+(E8-E7)</f>
        <v>0.42736842105263156</v>
      </c>
      <c r="G8" s="5">
        <f t="shared" ref="G8:L8" si="4">0.24+(F8-F7)</f>
        <v>0.43736842105263163</v>
      </c>
      <c r="H8" s="5">
        <f t="shared" si="4"/>
        <v>0.27736842105263176</v>
      </c>
      <c r="I8" s="5">
        <f t="shared" si="4"/>
        <v>0.27736842105263176</v>
      </c>
      <c r="J8" s="5">
        <f t="shared" si="4"/>
        <v>0.27736842105263171</v>
      </c>
      <c r="K8" s="5">
        <f t="shared" si="4"/>
        <v>0.4173684210526315</v>
      </c>
      <c r="L8" s="5">
        <f t="shared" si="4"/>
        <v>0.41736842105263144</v>
      </c>
    </row>
    <row r="9" spans="2:16" x14ac:dyDescent="0.35">
      <c r="B9" t="s">
        <v>7</v>
      </c>
      <c r="E9" s="4">
        <f>$P$5-E6</f>
        <v>1284.8</v>
      </c>
      <c r="F9" s="4">
        <f>E9-F6</f>
        <v>1114.5999999999999</v>
      </c>
      <c r="G9" s="4">
        <f t="shared" ref="G9:L9" si="5">F9-G6</f>
        <v>826.6</v>
      </c>
      <c r="H9" s="4">
        <f t="shared" si="5"/>
        <v>658.6</v>
      </c>
      <c r="I9" s="4">
        <f t="shared" si="5"/>
        <v>495.4</v>
      </c>
      <c r="J9" s="4">
        <f t="shared" si="5"/>
        <v>429.39999999999986</v>
      </c>
      <c r="K9" s="4">
        <f t="shared" si="5"/>
        <v>275.79999999999984</v>
      </c>
      <c r="L9" s="4">
        <f t="shared" si="5"/>
        <v>126.99999999999989</v>
      </c>
    </row>
    <row r="10" spans="2:16" x14ac:dyDescent="0.35">
      <c r="B10" t="s">
        <v>8</v>
      </c>
      <c r="E10" s="4">
        <f>($P$4-(SUM($E$4:E4)))*0.24</f>
        <v>1142.3999999999999</v>
      </c>
      <c r="F10" s="4">
        <f>($P$4-(SUM($E$4:F4)))*0.24</f>
        <v>964.8</v>
      </c>
      <c r="G10" s="4">
        <f>($P$4-(SUM($E$4:G4)))*0.24</f>
        <v>792</v>
      </c>
      <c r="H10" s="4">
        <f>($P$4-(SUM($E$4:H4)))*0.24</f>
        <v>624</v>
      </c>
      <c r="I10" s="4">
        <f>($P$4-(SUM($E$4:I4)))*0.24</f>
        <v>460.79999999999995</v>
      </c>
      <c r="J10" s="4">
        <f>($P$4-(SUM($E$4:J4)))*0.24</f>
        <v>302.39999999999998</v>
      </c>
      <c r="K10" s="4">
        <f>($P$4-(SUM($E$4:K4)))*0.24</f>
        <v>148.79999999999998</v>
      </c>
      <c r="L10" s="4">
        <f>($P$4-(SUM($E$4:L4)))*0.24</f>
        <v>0</v>
      </c>
    </row>
    <row r="11" spans="2:16" x14ac:dyDescent="0.35">
      <c r="B11" t="s">
        <v>13</v>
      </c>
      <c r="E11" s="6" t="b">
        <f>E9&gt;=E10</f>
        <v>1</v>
      </c>
      <c r="F11" s="6" t="b">
        <f t="shared" ref="F11:L11" si="6">F9&gt;=F10</f>
        <v>1</v>
      </c>
      <c r="G11" s="6" t="b">
        <f t="shared" si="6"/>
        <v>1</v>
      </c>
      <c r="H11" s="6" t="b">
        <f t="shared" si="6"/>
        <v>1</v>
      </c>
      <c r="I11" s="6" t="b">
        <f t="shared" si="6"/>
        <v>1</v>
      </c>
      <c r="J11" s="6" t="b">
        <f t="shared" si="6"/>
        <v>1</v>
      </c>
      <c r="K11" s="6" t="b">
        <f t="shared" si="6"/>
        <v>1</v>
      </c>
      <c r="L11" s="6" t="b">
        <f t="shared" si="6"/>
        <v>1</v>
      </c>
    </row>
    <row r="12" spans="2:16" x14ac:dyDescent="0.35">
      <c r="B12" t="s">
        <v>14</v>
      </c>
      <c r="E12" s="6" t="b">
        <f>E8&gt;=E7</f>
        <v>1</v>
      </c>
      <c r="F12" s="6" t="b">
        <f t="shared" ref="F12:L12" si="7">F8&gt;=F7</f>
        <v>1</v>
      </c>
      <c r="G12" s="6" t="b">
        <f t="shared" si="7"/>
        <v>1</v>
      </c>
      <c r="H12" s="6" t="b">
        <f t="shared" si="7"/>
        <v>1</v>
      </c>
      <c r="I12" s="6" t="b">
        <f t="shared" si="7"/>
        <v>1</v>
      </c>
      <c r="J12" s="6" t="b">
        <f t="shared" si="7"/>
        <v>1</v>
      </c>
      <c r="K12" s="6" t="b">
        <f t="shared" si="7"/>
        <v>1</v>
      </c>
      <c r="L12" s="6" t="b">
        <f t="shared" si="7"/>
        <v>1</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F045F4-DED1-415C-8A55-F3B2C572E16C}">
  <dimension ref="B2:P13"/>
  <sheetViews>
    <sheetView zoomScale="145" zoomScaleNormal="145" workbookViewId="0">
      <selection activeCell="P5" sqref="P5"/>
    </sheetView>
  </sheetViews>
  <sheetFormatPr defaultRowHeight="14.5" x14ac:dyDescent="0.35"/>
  <cols>
    <col min="2" max="2" width="37.7265625" customWidth="1"/>
    <col min="3" max="3" width="11.7265625" bestFit="1" customWidth="1"/>
    <col min="4" max="9" width="10.7265625" bestFit="1" customWidth="1"/>
    <col min="10" max="10" width="12.81640625" bestFit="1" customWidth="1"/>
    <col min="11" max="11" width="11.7265625" bestFit="1" customWidth="1"/>
    <col min="12" max="12" width="12.81640625" bestFit="1" customWidth="1"/>
    <col min="15" max="15" width="20.453125" customWidth="1"/>
  </cols>
  <sheetData>
    <row r="2" spans="2:16" x14ac:dyDescent="0.35">
      <c r="C2">
        <v>800</v>
      </c>
      <c r="M2">
        <v>600</v>
      </c>
    </row>
    <row r="3" spans="2:16" x14ac:dyDescent="0.35">
      <c r="B3" t="s">
        <v>1</v>
      </c>
      <c r="C3" s="7">
        <v>2020</v>
      </c>
      <c r="D3" s="7">
        <v>2021</v>
      </c>
      <c r="E3" s="7">
        <v>2022</v>
      </c>
      <c r="F3" s="7">
        <v>2023</v>
      </c>
      <c r="G3" s="7">
        <v>2024</v>
      </c>
      <c r="H3" s="7">
        <v>2025</v>
      </c>
      <c r="I3" s="7">
        <v>2026</v>
      </c>
      <c r="J3" s="7">
        <v>2027</v>
      </c>
      <c r="K3" s="7">
        <v>2028</v>
      </c>
      <c r="L3" s="7">
        <v>2029</v>
      </c>
      <c r="M3">
        <v>2030</v>
      </c>
    </row>
    <row r="4" spans="2:16" x14ac:dyDescent="0.35">
      <c r="B4" t="s">
        <v>15</v>
      </c>
      <c r="C4">
        <v>800</v>
      </c>
      <c r="M4">
        <v>600</v>
      </c>
    </row>
    <row r="5" spans="2:16" x14ac:dyDescent="0.35">
      <c r="B5" t="s">
        <v>2</v>
      </c>
      <c r="C5" s="7">
        <v>800</v>
      </c>
      <c r="D5" s="7">
        <f>$C$5*(1-((D3-$C$3)/($M$3-$C$3))*0.25)</f>
        <v>780</v>
      </c>
      <c r="E5" s="7">
        <f t="shared" ref="E5:L5" si="0">$C$5*(1-((E3-$C$3)/($M$3-$C$3))*0.25)</f>
        <v>760</v>
      </c>
      <c r="F5" s="7">
        <f t="shared" si="0"/>
        <v>740</v>
      </c>
      <c r="G5" s="7">
        <f t="shared" si="0"/>
        <v>720</v>
      </c>
      <c r="H5" s="7">
        <f t="shared" si="0"/>
        <v>700</v>
      </c>
      <c r="I5" s="7">
        <f t="shared" si="0"/>
        <v>680</v>
      </c>
      <c r="J5" s="7">
        <f t="shared" si="0"/>
        <v>660</v>
      </c>
      <c r="K5" s="7">
        <f t="shared" si="0"/>
        <v>640</v>
      </c>
      <c r="L5" s="7">
        <f t="shared" si="0"/>
        <v>620</v>
      </c>
      <c r="M5">
        <f>C5*0.75</f>
        <v>600</v>
      </c>
      <c r="O5" t="s">
        <v>3</v>
      </c>
      <c r="P5">
        <f>SUM(E5:L5)</f>
        <v>5520</v>
      </c>
    </row>
    <row r="6" spans="2:16" x14ac:dyDescent="0.35">
      <c r="B6" t="s">
        <v>4</v>
      </c>
      <c r="E6">
        <v>800</v>
      </c>
      <c r="F6">
        <f>F5*1.23</f>
        <v>910.19999999999993</v>
      </c>
      <c r="G6">
        <f>G5*1.4</f>
        <v>1007.9999999999999</v>
      </c>
      <c r="H6">
        <f t="shared" ref="H6:L6" si="1">H5*1.24</f>
        <v>868</v>
      </c>
      <c r="I6">
        <f t="shared" si="1"/>
        <v>843.2</v>
      </c>
      <c r="J6">
        <f>J5*1.1</f>
        <v>726.00000000000011</v>
      </c>
      <c r="K6">
        <f t="shared" si="1"/>
        <v>793.6</v>
      </c>
      <c r="L6">
        <f t="shared" si="1"/>
        <v>768.8</v>
      </c>
      <c r="O6" t="s">
        <v>5</v>
      </c>
      <c r="P6">
        <f>P5*0.24</f>
        <v>1324.8</v>
      </c>
    </row>
    <row r="7" spans="2:16" x14ac:dyDescent="0.35">
      <c r="B7" t="s">
        <v>10</v>
      </c>
      <c r="E7" s="4">
        <f>E6-E5</f>
        <v>40</v>
      </c>
      <c r="F7" s="4">
        <f t="shared" ref="F7:L7" si="2">F6-F5</f>
        <v>170.19999999999993</v>
      </c>
      <c r="G7" s="4">
        <f t="shared" si="2"/>
        <v>287.99999999999989</v>
      </c>
      <c r="H7" s="4">
        <f t="shared" si="2"/>
        <v>168</v>
      </c>
      <c r="I7" s="4">
        <f t="shared" si="2"/>
        <v>163.20000000000005</v>
      </c>
      <c r="J7" s="4">
        <f t="shared" si="2"/>
        <v>66.000000000000114</v>
      </c>
      <c r="K7" s="4">
        <f t="shared" si="2"/>
        <v>153.60000000000002</v>
      </c>
      <c r="L7" s="4">
        <f t="shared" si="2"/>
        <v>148.79999999999995</v>
      </c>
    </row>
    <row r="8" spans="2:16" x14ac:dyDescent="0.35">
      <c r="B8" t="s">
        <v>11</v>
      </c>
      <c r="E8" s="5">
        <f>E7/E5</f>
        <v>5.2631578947368418E-2</v>
      </c>
      <c r="F8" s="5">
        <f t="shared" ref="F8:L8" si="3">F7/F5</f>
        <v>0.2299999999999999</v>
      </c>
      <c r="G8" s="5">
        <f t="shared" si="3"/>
        <v>0.39999999999999986</v>
      </c>
      <c r="H8" s="5">
        <f t="shared" si="3"/>
        <v>0.24</v>
      </c>
      <c r="I8" s="5">
        <f t="shared" si="3"/>
        <v>0.24000000000000007</v>
      </c>
      <c r="J8" s="5">
        <f t="shared" si="3"/>
        <v>0.10000000000000017</v>
      </c>
      <c r="K8" s="5">
        <f t="shared" si="3"/>
        <v>0.24000000000000005</v>
      </c>
      <c r="L8" s="5">
        <f t="shared" si="3"/>
        <v>0.23999999999999994</v>
      </c>
    </row>
    <row r="9" spans="2:16" x14ac:dyDescent="0.35">
      <c r="B9" t="s">
        <v>12</v>
      </c>
      <c r="E9" s="5">
        <f>0.24</f>
        <v>0.24</v>
      </c>
      <c r="F9" s="5">
        <f>0.24+(E9-E8)</f>
        <v>0.42736842105263156</v>
      </c>
      <c r="G9" s="5">
        <f t="shared" ref="G9:L9" si="4">0.24+(F9-F8)</f>
        <v>0.43736842105263163</v>
      </c>
      <c r="H9" s="5">
        <f t="shared" si="4"/>
        <v>0.27736842105263176</v>
      </c>
      <c r="I9" s="5">
        <f t="shared" si="4"/>
        <v>0.27736842105263176</v>
      </c>
      <c r="J9" s="5">
        <f t="shared" si="4"/>
        <v>0.27736842105263171</v>
      </c>
      <c r="K9" s="5">
        <f t="shared" si="4"/>
        <v>0.4173684210526315</v>
      </c>
      <c r="L9" s="5">
        <f t="shared" si="4"/>
        <v>0.41736842105263144</v>
      </c>
    </row>
    <row r="10" spans="2:16" x14ac:dyDescent="0.35">
      <c r="B10" t="s">
        <v>7</v>
      </c>
      <c r="E10" s="4">
        <f>$P$6-E7</f>
        <v>1284.8</v>
      </c>
      <c r="F10" s="4">
        <f>E10-F7</f>
        <v>1114.5999999999999</v>
      </c>
      <c r="G10" s="4">
        <f t="shared" ref="G10:L10" si="5">F10-G7</f>
        <v>826.6</v>
      </c>
      <c r="H10" s="4">
        <f t="shared" si="5"/>
        <v>658.6</v>
      </c>
      <c r="I10" s="4">
        <f t="shared" si="5"/>
        <v>495.4</v>
      </c>
      <c r="J10" s="4">
        <f t="shared" si="5"/>
        <v>429.39999999999986</v>
      </c>
      <c r="K10" s="4">
        <f t="shared" si="5"/>
        <v>275.79999999999984</v>
      </c>
      <c r="L10" s="4">
        <f t="shared" si="5"/>
        <v>126.99999999999989</v>
      </c>
    </row>
    <row r="11" spans="2:16" x14ac:dyDescent="0.35">
      <c r="B11" t="s">
        <v>8</v>
      </c>
      <c r="E11" s="4">
        <f>($P$5-(SUM($E$5:E5)))*0.24</f>
        <v>1142.3999999999999</v>
      </c>
      <c r="F11" s="4">
        <f>($P$5-(SUM($E$5:F5)))*0.24</f>
        <v>964.8</v>
      </c>
      <c r="G11" s="4">
        <f>($P$5-(SUM($E$5:G5)))*0.24</f>
        <v>792</v>
      </c>
      <c r="H11" s="4">
        <f>($P$5-(SUM($E$5:H5)))*0.24</f>
        <v>624</v>
      </c>
      <c r="I11" s="4">
        <f>($P$5-(SUM($E$5:I5)))*0.24</f>
        <v>460.79999999999995</v>
      </c>
      <c r="J11" s="4">
        <f>($P$5-(SUM($E$5:J5)))*0.24</f>
        <v>302.39999999999998</v>
      </c>
      <c r="K11" s="4">
        <f>($P$5-(SUM($E$5:K5)))*0.24</f>
        <v>148.79999999999998</v>
      </c>
      <c r="L11" s="4">
        <f>($P$5-(SUM($E$5:L5)))*0.24</f>
        <v>0</v>
      </c>
    </row>
    <row r="12" spans="2:16" x14ac:dyDescent="0.35">
      <c r="B12" t="s">
        <v>13</v>
      </c>
      <c r="E12" s="6" t="b">
        <f>E10&gt;=E11</f>
        <v>1</v>
      </c>
      <c r="F12" s="6" t="b">
        <f t="shared" ref="F12:L12" si="6">F10&gt;=F11</f>
        <v>1</v>
      </c>
      <c r="G12" s="6" t="b">
        <f t="shared" si="6"/>
        <v>1</v>
      </c>
      <c r="H12" s="6" t="b">
        <f t="shared" si="6"/>
        <v>1</v>
      </c>
      <c r="I12" s="6" t="b">
        <f t="shared" si="6"/>
        <v>1</v>
      </c>
      <c r="J12" s="6" t="b">
        <f t="shared" si="6"/>
        <v>1</v>
      </c>
      <c r="K12" s="6" t="b">
        <f t="shared" si="6"/>
        <v>1</v>
      </c>
      <c r="L12" s="6" t="b">
        <f t="shared" si="6"/>
        <v>1</v>
      </c>
    </row>
    <row r="13" spans="2:16" x14ac:dyDescent="0.35">
      <c r="B13" t="s">
        <v>14</v>
      </c>
      <c r="E13" s="6" t="b">
        <f>E9&gt;=E8</f>
        <v>1</v>
      </c>
      <c r="F13" s="6" t="b">
        <f t="shared" ref="F13:L13" si="7">F9&gt;=F8</f>
        <v>1</v>
      </c>
      <c r="G13" s="6" t="b">
        <f t="shared" si="7"/>
        <v>1</v>
      </c>
      <c r="H13" s="6" t="b">
        <f t="shared" si="7"/>
        <v>1</v>
      </c>
      <c r="I13" s="6" t="b">
        <f t="shared" si="7"/>
        <v>1</v>
      </c>
      <c r="J13" s="6" t="b">
        <f t="shared" si="7"/>
        <v>1</v>
      </c>
      <c r="K13" s="6" t="b">
        <f t="shared" si="7"/>
        <v>1</v>
      </c>
      <c r="L13" s="6" t="b">
        <f t="shared" si="7"/>
        <v>1</v>
      </c>
    </row>
  </sheetData>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91C7C8B-029A-49E8-941C-E751FE59B5A9}">
  <dimension ref="B1:M25"/>
  <sheetViews>
    <sheetView tabSelected="1" workbookViewId="0">
      <selection activeCell="B5" sqref="B5:M14"/>
    </sheetView>
  </sheetViews>
  <sheetFormatPr defaultColWidth="9.1796875" defaultRowHeight="14.5" x14ac:dyDescent="0.35"/>
  <cols>
    <col min="1" max="1" width="9.1796875" style="33"/>
    <col min="2" max="2" width="11.1796875" style="33" bestFit="1" customWidth="1"/>
    <col min="3" max="16384" width="9.1796875" style="33"/>
  </cols>
  <sheetData>
    <row r="1" spans="2:13" x14ac:dyDescent="0.35">
      <c r="B1" s="77" t="e" vm="1">
        <v>#VALUE!</v>
      </c>
      <c r="C1" s="77"/>
      <c r="D1" s="77"/>
    </row>
    <row r="2" spans="2:13" x14ac:dyDescent="0.35">
      <c r="B2" s="77"/>
      <c r="C2" s="77"/>
      <c r="D2" s="77"/>
    </row>
    <row r="3" spans="2:13" x14ac:dyDescent="0.35">
      <c r="B3" s="57"/>
      <c r="C3" s="57"/>
      <c r="D3" s="57"/>
    </row>
    <row r="4" spans="2:13" x14ac:dyDescent="0.35">
      <c r="B4" s="76" t="s">
        <v>16</v>
      </c>
      <c r="C4" s="58"/>
      <c r="D4" s="58"/>
      <c r="E4" s="58"/>
      <c r="F4" s="58"/>
      <c r="G4" s="58"/>
      <c r="H4" s="58"/>
      <c r="I4" s="58"/>
      <c r="J4" s="58"/>
      <c r="K4" s="58"/>
      <c r="L4" s="58"/>
      <c r="M4" s="59"/>
    </row>
    <row r="5" spans="2:13" ht="30.75" customHeight="1" x14ac:dyDescent="0.35">
      <c r="B5" s="79" t="s">
        <v>17</v>
      </c>
      <c r="C5" s="80"/>
      <c r="D5" s="80"/>
      <c r="E5" s="80"/>
      <c r="F5" s="80"/>
      <c r="G5" s="80"/>
      <c r="H5" s="80"/>
      <c r="I5" s="80"/>
      <c r="J5" s="80"/>
      <c r="K5" s="80"/>
      <c r="L5" s="80"/>
      <c r="M5" s="81"/>
    </row>
    <row r="6" spans="2:13" x14ac:dyDescent="0.35">
      <c r="B6" s="82"/>
      <c r="C6" s="80"/>
      <c r="D6" s="80"/>
      <c r="E6" s="80"/>
      <c r="F6" s="80"/>
      <c r="G6" s="80"/>
      <c r="H6" s="80"/>
      <c r="I6" s="80"/>
      <c r="J6" s="80"/>
      <c r="K6" s="80"/>
      <c r="L6" s="80"/>
      <c r="M6" s="81"/>
    </row>
    <row r="7" spans="2:13" x14ac:dyDescent="0.35">
      <c r="B7" s="82"/>
      <c r="C7" s="80"/>
      <c r="D7" s="80"/>
      <c r="E7" s="80"/>
      <c r="F7" s="80"/>
      <c r="G7" s="80"/>
      <c r="H7" s="80"/>
      <c r="I7" s="80"/>
      <c r="J7" s="80"/>
      <c r="K7" s="80"/>
      <c r="L7" s="80"/>
      <c r="M7" s="81"/>
    </row>
    <row r="8" spans="2:13" x14ac:dyDescent="0.35">
      <c r="B8" s="82"/>
      <c r="C8" s="80"/>
      <c r="D8" s="80"/>
      <c r="E8" s="80"/>
      <c r="F8" s="80"/>
      <c r="G8" s="80"/>
      <c r="H8" s="80"/>
      <c r="I8" s="80"/>
      <c r="J8" s="80"/>
      <c r="K8" s="80"/>
      <c r="L8" s="80"/>
      <c r="M8" s="81"/>
    </row>
    <row r="9" spans="2:13" x14ac:dyDescent="0.35">
      <c r="B9" s="82"/>
      <c r="C9" s="80"/>
      <c r="D9" s="80"/>
      <c r="E9" s="80"/>
      <c r="F9" s="80"/>
      <c r="G9" s="80"/>
      <c r="H9" s="80"/>
      <c r="I9" s="80"/>
      <c r="J9" s="80"/>
      <c r="K9" s="80"/>
      <c r="L9" s="80"/>
      <c r="M9" s="81"/>
    </row>
    <row r="10" spans="2:13" x14ac:dyDescent="0.35">
      <c r="B10" s="82"/>
      <c r="C10" s="80"/>
      <c r="D10" s="80"/>
      <c r="E10" s="80"/>
      <c r="F10" s="80"/>
      <c r="G10" s="80"/>
      <c r="H10" s="80"/>
      <c r="I10" s="80"/>
      <c r="J10" s="80"/>
      <c r="K10" s="80"/>
      <c r="L10" s="80"/>
      <c r="M10" s="81"/>
    </row>
    <row r="11" spans="2:13" x14ac:dyDescent="0.35">
      <c r="B11" s="82"/>
      <c r="C11" s="80"/>
      <c r="D11" s="80"/>
      <c r="E11" s="80"/>
      <c r="F11" s="80"/>
      <c r="G11" s="80"/>
      <c r="H11" s="80"/>
      <c r="I11" s="80"/>
      <c r="J11" s="80"/>
      <c r="K11" s="80"/>
      <c r="L11" s="80"/>
      <c r="M11" s="81"/>
    </row>
    <row r="12" spans="2:13" x14ac:dyDescent="0.35">
      <c r="B12" s="82"/>
      <c r="C12" s="80"/>
      <c r="D12" s="80"/>
      <c r="E12" s="80"/>
      <c r="F12" s="80"/>
      <c r="G12" s="80"/>
      <c r="H12" s="80"/>
      <c r="I12" s="80"/>
      <c r="J12" s="80"/>
      <c r="K12" s="80"/>
      <c r="L12" s="80"/>
      <c r="M12" s="81"/>
    </row>
    <row r="13" spans="2:13" x14ac:dyDescent="0.35">
      <c r="B13" s="82"/>
      <c r="C13" s="80"/>
      <c r="D13" s="80"/>
      <c r="E13" s="80"/>
      <c r="F13" s="80"/>
      <c r="G13" s="80"/>
      <c r="H13" s="80"/>
      <c r="I13" s="80"/>
      <c r="J13" s="80"/>
      <c r="K13" s="80"/>
      <c r="L13" s="80"/>
      <c r="M13" s="81"/>
    </row>
    <row r="14" spans="2:13" ht="175.5" customHeight="1" x14ac:dyDescent="0.35">
      <c r="B14" s="82"/>
      <c r="C14" s="80"/>
      <c r="D14" s="80"/>
      <c r="E14" s="80"/>
      <c r="F14" s="80"/>
      <c r="G14" s="80"/>
      <c r="H14" s="80"/>
      <c r="I14" s="80"/>
      <c r="J14" s="80"/>
      <c r="K14" s="80"/>
      <c r="L14" s="80"/>
      <c r="M14" s="81"/>
    </row>
    <row r="15" spans="2:13" ht="20.25" customHeight="1" x14ac:dyDescent="0.35">
      <c r="B15" s="67"/>
      <c r="C15" s="83" t="s">
        <v>18</v>
      </c>
      <c r="D15" s="84"/>
      <c r="E15" s="84"/>
      <c r="F15" s="68"/>
      <c r="G15" s="68"/>
      <c r="H15" s="68"/>
      <c r="I15" s="68"/>
      <c r="J15" s="68"/>
      <c r="K15" s="68"/>
      <c r="L15" s="68"/>
      <c r="M15" s="69"/>
    </row>
    <row r="16" spans="2:13" ht="16.5" x14ac:dyDescent="0.35">
      <c r="B16" s="60"/>
      <c r="C16" s="27"/>
      <c r="D16" s="33" t="s">
        <v>19</v>
      </c>
      <c r="M16" s="61"/>
    </row>
    <row r="17" spans="2:13" ht="9.75" customHeight="1" x14ac:dyDescent="0.35">
      <c r="B17" s="60"/>
      <c r="M17" s="61"/>
    </row>
    <row r="18" spans="2:13" x14ac:dyDescent="0.35">
      <c r="B18" s="60"/>
      <c r="C18" s="73"/>
      <c r="D18" s="85" t="s">
        <v>20</v>
      </c>
      <c r="E18" s="85"/>
      <c r="F18" s="85"/>
      <c r="M18" s="61"/>
    </row>
    <row r="19" spans="2:13" x14ac:dyDescent="0.35">
      <c r="B19" s="60"/>
      <c r="C19" s="75"/>
      <c r="D19" s="85"/>
      <c r="E19" s="85"/>
      <c r="F19" s="85"/>
      <c r="M19" s="61"/>
    </row>
    <row r="20" spans="2:13" x14ac:dyDescent="0.35">
      <c r="B20" s="62"/>
      <c r="C20" s="63"/>
      <c r="D20" s="63"/>
      <c r="E20" s="63"/>
      <c r="F20" s="63"/>
      <c r="G20" s="63"/>
      <c r="H20" s="63"/>
      <c r="I20" s="63"/>
      <c r="J20" s="63"/>
      <c r="K20" s="63"/>
      <c r="L20" s="63"/>
      <c r="M20" s="64"/>
    </row>
    <row r="24" spans="2:13" x14ac:dyDescent="0.35">
      <c r="B24" s="77" t="s">
        <v>21</v>
      </c>
      <c r="C24" s="77"/>
      <c r="D24" s="77"/>
      <c r="E24" s="77"/>
      <c r="F24" s="77"/>
      <c r="G24" s="77"/>
      <c r="H24" s="77"/>
      <c r="I24" s="77"/>
      <c r="J24" s="77"/>
      <c r="K24" s="77"/>
      <c r="L24" s="77"/>
      <c r="M24" s="77"/>
    </row>
    <row r="25" spans="2:13" x14ac:dyDescent="0.35">
      <c r="B25" s="78" t="s">
        <v>22</v>
      </c>
      <c r="C25" s="78"/>
      <c r="D25" s="78"/>
      <c r="E25" s="78"/>
      <c r="F25" s="78"/>
      <c r="G25" s="78"/>
      <c r="H25" s="78"/>
      <c r="I25" s="78"/>
      <c r="J25" s="78"/>
      <c r="K25" s="78"/>
      <c r="L25" s="78"/>
      <c r="M25" s="78"/>
    </row>
  </sheetData>
  <sheetProtection algorithmName="SHA-512" hashValue="vrzCoPQyvUM0ke6rSl2RtFfpC7tR52UUfjCrqE4QKmxgKVSfzxUJsS+IXTynL+SHMuZJapKi8zAGhlE7B2Jofg==" saltValue="WSEollgiHfo1VCSa49DmbA==" spinCount="100000" sheet="1" objects="1" scenarios="1"/>
  <mergeCells count="6">
    <mergeCell ref="B24:M24"/>
    <mergeCell ref="B25:M25"/>
    <mergeCell ref="B5:M14"/>
    <mergeCell ref="B1:D2"/>
    <mergeCell ref="C15:E15"/>
    <mergeCell ref="D18:F19"/>
  </mergeCells>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88DE65E-C56A-45CA-8307-A619E4DC6392}">
  <dimension ref="B1:M56"/>
  <sheetViews>
    <sheetView zoomScale="85" zoomScaleNormal="85" workbookViewId="0">
      <selection activeCell="D27" sqref="D27"/>
    </sheetView>
  </sheetViews>
  <sheetFormatPr defaultColWidth="9.1796875" defaultRowHeight="14.5" x14ac:dyDescent="0.35"/>
  <cols>
    <col min="1" max="1" width="9.1796875" style="33"/>
    <col min="2" max="2" width="42.26953125" style="33" customWidth="1"/>
    <col min="3" max="3" width="11.7265625" style="33" customWidth="1"/>
    <col min="4" max="9" width="14.453125" style="33" customWidth="1"/>
    <col min="10" max="10" width="12.81640625" style="33" customWidth="1"/>
    <col min="11" max="13" width="14.453125" style="33" customWidth="1"/>
    <col min="14" max="18" width="6.26953125" style="33" customWidth="1"/>
    <col min="19" max="16384" width="9.1796875" style="33"/>
  </cols>
  <sheetData>
    <row r="1" spans="2:13" x14ac:dyDescent="0.35">
      <c r="B1" s="77" t="e" vm="1">
        <v>#VALUE!</v>
      </c>
      <c r="C1" s="77"/>
      <c r="D1" s="77"/>
    </row>
    <row r="2" spans="2:13" x14ac:dyDescent="0.35">
      <c r="B2" s="77"/>
      <c r="C2" s="77"/>
      <c r="D2" s="77"/>
    </row>
    <row r="3" spans="2:13" x14ac:dyDescent="0.35">
      <c r="B3" s="65"/>
      <c r="C3" s="65"/>
      <c r="D3" s="65"/>
    </row>
    <row r="4" spans="2:13" x14ac:dyDescent="0.35">
      <c r="B4" s="53" t="s">
        <v>23</v>
      </c>
      <c r="C4" s="54"/>
      <c r="D4" s="54"/>
      <c r="E4" s="54"/>
      <c r="F4" s="54"/>
      <c r="G4" s="54"/>
      <c r="H4" s="54"/>
      <c r="I4" s="54"/>
      <c r="J4" s="54"/>
      <c r="K4" s="54"/>
      <c r="L4" s="54"/>
      <c r="M4" s="54"/>
    </row>
    <row r="5" spans="2:13" x14ac:dyDescent="0.35">
      <c r="B5" s="70" t="s">
        <v>24</v>
      </c>
    </row>
    <row r="6" spans="2:13" x14ac:dyDescent="0.35">
      <c r="B6" s="70" t="s">
        <v>25</v>
      </c>
    </row>
    <row r="7" spans="2:13" x14ac:dyDescent="0.35">
      <c r="B7" s="70"/>
    </row>
    <row r="8" spans="2:13" x14ac:dyDescent="0.35">
      <c r="B8" s="53" t="s">
        <v>26</v>
      </c>
      <c r="C8" s="54"/>
      <c r="D8" s="54"/>
      <c r="E8" s="54"/>
      <c r="F8" s="54"/>
      <c r="G8" s="54"/>
      <c r="H8" s="54"/>
      <c r="I8" s="54"/>
      <c r="J8" s="54"/>
      <c r="K8" s="54"/>
      <c r="L8" s="54"/>
      <c r="M8" s="54"/>
    </row>
    <row r="9" spans="2:13" x14ac:dyDescent="0.35">
      <c r="B9" s="34" t="s">
        <v>27</v>
      </c>
      <c r="C9" s="33" t="s">
        <v>28</v>
      </c>
    </row>
    <row r="10" spans="2:13" x14ac:dyDescent="0.35">
      <c r="B10" s="33" t="s">
        <v>29</v>
      </c>
      <c r="C10" s="28">
        <v>0.25</v>
      </c>
      <c r="D10" s="33" t="s">
        <v>30</v>
      </c>
    </row>
    <row r="11" spans="2:13" x14ac:dyDescent="0.35">
      <c r="B11" s="33" t="s">
        <v>31</v>
      </c>
      <c r="C11" s="28">
        <v>0.4</v>
      </c>
      <c r="D11" s="33" t="s">
        <v>32</v>
      </c>
    </row>
    <row r="13" spans="2:13" x14ac:dyDescent="0.35">
      <c r="B13" s="53" t="s">
        <v>33</v>
      </c>
      <c r="C13" s="54"/>
      <c r="D13" s="54"/>
      <c r="E13" s="54"/>
      <c r="F13" s="54"/>
      <c r="G13" s="54"/>
      <c r="H13" s="54"/>
      <c r="I13" s="54"/>
      <c r="J13" s="54"/>
      <c r="K13" s="54"/>
      <c r="L13" s="54"/>
      <c r="M13" s="54"/>
    </row>
    <row r="14" spans="2:13" x14ac:dyDescent="0.35">
      <c r="B14" s="34" t="s">
        <v>34</v>
      </c>
    </row>
    <row r="15" spans="2:13" x14ac:dyDescent="0.35">
      <c r="B15" s="35" t="s">
        <v>35</v>
      </c>
      <c r="C15" s="29">
        <v>2020</v>
      </c>
    </row>
    <row r="16" spans="2:13" ht="16.5" x14ac:dyDescent="0.45">
      <c r="B16" s="35" t="s">
        <v>36</v>
      </c>
      <c r="C16" s="30">
        <v>800</v>
      </c>
    </row>
    <row r="17" spans="2:13" ht="16.5" x14ac:dyDescent="0.35">
      <c r="B17" s="33" t="s">
        <v>37</v>
      </c>
      <c r="C17" s="29">
        <v>2022</v>
      </c>
    </row>
    <row r="18" spans="2:13" x14ac:dyDescent="0.35">
      <c r="B18" s="33" t="s">
        <v>38</v>
      </c>
      <c r="C18" s="29">
        <v>2030</v>
      </c>
    </row>
    <row r="19" spans="2:13" x14ac:dyDescent="0.35">
      <c r="B19" s="33" t="s">
        <v>39</v>
      </c>
      <c r="C19" s="31">
        <v>0.25</v>
      </c>
    </row>
    <row r="21" spans="2:13" x14ac:dyDescent="0.35">
      <c r="B21" s="34" t="s">
        <v>40</v>
      </c>
    </row>
    <row r="22" spans="2:13" x14ac:dyDescent="0.35">
      <c r="B22" s="33" t="s">
        <v>1</v>
      </c>
      <c r="C22" s="33">
        <f>$C$15</f>
        <v>2020</v>
      </c>
      <c r="D22" s="33">
        <f>C22+1</f>
        <v>2021</v>
      </c>
      <c r="E22" s="33">
        <f t="shared" ref="E22:M22" si="0">D22+1</f>
        <v>2022</v>
      </c>
      <c r="F22" s="33">
        <f t="shared" si="0"/>
        <v>2023</v>
      </c>
      <c r="G22" s="33">
        <f t="shared" si="0"/>
        <v>2024</v>
      </c>
      <c r="H22" s="33">
        <f t="shared" si="0"/>
        <v>2025</v>
      </c>
      <c r="I22" s="33">
        <f t="shared" si="0"/>
        <v>2026</v>
      </c>
      <c r="J22" s="33">
        <f t="shared" si="0"/>
        <v>2027</v>
      </c>
      <c r="K22" s="33">
        <f t="shared" si="0"/>
        <v>2028</v>
      </c>
      <c r="L22" s="33">
        <f t="shared" si="0"/>
        <v>2029</v>
      </c>
      <c r="M22" s="33">
        <f t="shared" si="0"/>
        <v>2030</v>
      </c>
    </row>
    <row r="23" spans="2:13" ht="16.5" x14ac:dyDescent="0.45">
      <c r="B23" s="33" t="s">
        <v>41</v>
      </c>
      <c r="C23" s="44">
        <f>C16</f>
        <v>800</v>
      </c>
      <c r="D23" s="44">
        <f>$C$16*(1-($C$19*((D22-$C$15)/($C$18-$C$15))))</f>
        <v>780</v>
      </c>
      <c r="E23" s="44">
        <f>$C$16*(1-($C$19*((E22-$C$15)/($C$18-$C$15))))</f>
        <v>760</v>
      </c>
      <c r="F23" s="44">
        <f t="shared" ref="F23:M23" si="1">$C$16*(1-($C$19*((F22-$C$15)/($C$18-$C$15))))</f>
        <v>740</v>
      </c>
      <c r="G23" s="44">
        <f t="shared" si="1"/>
        <v>720</v>
      </c>
      <c r="H23" s="44">
        <f t="shared" si="1"/>
        <v>700</v>
      </c>
      <c r="I23" s="44">
        <f t="shared" si="1"/>
        <v>680</v>
      </c>
      <c r="J23" s="44">
        <f t="shared" si="1"/>
        <v>660</v>
      </c>
      <c r="K23" s="44">
        <f t="shared" si="1"/>
        <v>640</v>
      </c>
      <c r="L23" s="44">
        <f t="shared" si="1"/>
        <v>620</v>
      </c>
      <c r="M23" s="44">
        <f t="shared" si="1"/>
        <v>600</v>
      </c>
    </row>
    <row r="24" spans="2:13" ht="16.5" x14ac:dyDescent="0.45">
      <c r="B24" s="33" t="s">
        <v>42</v>
      </c>
      <c r="D24" s="29"/>
      <c r="E24" s="29">
        <v>836.00000000000011</v>
      </c>
      <c r="F24" s="29">
        <v>1000</v>
      </c>
      <c r="G24" s="29">
        <v>900</v>
      </c>
      <c r="H24" s="29">
        <v>800</v>
      </c>
      <c r="I24" s="29">
        <v>700</v>
      </c>
      <c r="J24" s="29">
        <v>650</v>
      </c>
      <c r="K24" s="29">
        <v>768</v>
      </c>
      <c r="L24" s="29">
        <v>713</v>
      </c>
      <c r="M24" s="29">
        <v>660</v>
      </c>
    </row>
    <row r="26" spans="2:13" x14ac:dyDescent="0.35">
      <c r="B26" s="53" t="s">
        <v>43</v>
      </c>
      <c r="C26" s="54"/>
      <c r="D26" s="54"/>
      <c r="E26" s="54"/>
      <c r="F26" s="54"/>
      <c r="G26" s="54"/>
      <c r="H26" s="54"/>
      <c r="I26" s="54"/>
      <c r="J26" s="54"/>
      <c r="K26" s="54"/>
      <c r="L26" s="54"/>
      <c r="M26" s="54"/>
    </row>
    <row r="27" spans="2:13" ht="16" customHeight="1" x14ac:dyDescent="0.35">
      <c r="B27" s="33" t="s">
        <v>1</v>
      </c>
      <c r="C27" s="44">
        <f>$C$15</f>
        <v>2020</v>
      </c>
      <c r="D27" s="44">
        <f>C27+1</f>
        <v>2021</v>
      </c>
      <c r="E27" s="44">
        <f t="shared" ref="E27" si="2">D27+1</f>
        <v>2022</v>
      </c>
      <c r="F27" s="44">
        <f t="shared" ref="F27" si="3">E27+1</f>
        <v>2023</v>
      </c>
      <c r="G27" s="44">
        <f t="shared" ref="G27" si="4">F27+1</f>
        <v>2024</v>
      </c>
      <c r="H27" s="44">
        <f t="shared" ref="H27" si="5">G27+1</f>
        <v>2025</v>
      </c>
      <c r="I27" s="44">
        <f t="shared" ref="I27" si="6">H27+1</f>
        <v>2026</v>
      </c>
      <c r="J27" s="44">
        <f t="shared" ref="J27" si="7">I27+1</f>
        <v>2027</v>
      </c>
      <c r="K27" s="44">
        <f t="shared" ref="K27" si="8">J27+1</f>
        <v>2028</v>
      </c>
      <c r="L27" s="44">
        <f t="shared" ref="L27" si="9">K27+1</f>
        <v>2029</v>
      </c>
      <c r="M27" s="44">
        <f t="shared" ref="M27" si="10">L27+1</f>
        <v>2030</v>
      </c>
    </row>
    <row r="28" spans="2:13" ht="16" customHeight="1" x14ac:dyDescent="0.45">
      <c r="B28" s="4" t="s">
        <v>41</v>
      </c>
      <c r="C28" s="4">
        <f t="shared" ref="C28:M28" si="11">C23</f>
        <v>800</v>
      </c>
      <c r="D28" s="4">
        <f t="shared" si="11"/>
        <v>780</v>
      </c>
      <c r="E28" s="4">
        <f t="shared" si="11"/>
        <v>760</v>
      </c>
      <c r="F28" s="4">
        <f t="shared" si="11"/>
        <v>740</v>
      </c>
      <c r="G28" s="4">
        <f t="shared" si="11"/>
        <v>720</v>
      </c>
      <c r="H28" s="47">
        <f>H23</f>
        <v>700</v>
      </c>
      <c r="I28" s="4">
        <f t="shared" si="11"/>
        <v>680</v>
      </c>
      <c r="J28" s="4">
        <f t="shared" si="11"/>
        <v>660</v>
      </c>
      <c r="K28" s="4">
        <f t="shared" si="11"/>
        <v>640</v>
      </c>
      <c r="L28" s="4">
        <f t="shared" si="11"/>
        <v>620</v>
      </c>
      <c r="M28" s="4">
        <f t="shared" si="11"/>
        <v>600</v>
      </c>
    </row>
    <row r="29" spans="2:13" ht="16" customHeight="1" x14ac:dyDescent="0.45">
      <c r="B29" s="33" t="s">
        <v>42</v>
      </c>
      <c r="D29" s="45" t="str">
        <f>IF(D22&gt;$C$18,"n/a",IF(D22&lt;$C$17,"n/a",D24))</f>
        <v>n/a</v>
      </c>
      <c r="E29" s="45">
        <f t="shared" ref="E29:M29" si="12">IF(E22&gt;$C$18,"n/a",IF(E22&lt;$C$17,"n/a",E24))</f>
        <v>836.00000000000011</v>
      </c>
      <c r="F29" s="45">
        <f t="shared" si="12"/>
        <v>1000</v>
      </c>
      <c r="G29" s="45">
        <f>IF(G22&gt;$C$18,"n/a",IF(G22&lt;$C$17,"n/a",G24))</f>
        <v>900</v>
      </c>
      <c r="H29" s="45">
        <f t="shared" si="12"/>
        <v>800</v>
      </c>
      <c r="I29" s="45">
        <f t="shared" si="12"/>
        <v>700</v>
      </c>
      <c r="J29" s="45">
        <f t="shared" si="12"/>
        <v>650</v>
      </c>
      <c r="K29" s="45">
        <f t="shared" si="12"/>
        <v>768</v>
      </c>
      <c r="L29" s="45">
        <f t="shared" si="12"/>
        <v>713</v>
      </c>
      <c r="M29" s="45">
        <f t="shared" si="12"/>
        <v>660</v>
      </c>
    </row>
    <row r="30" spans="2:13" ht="16" customHeight="1" x14ac:dyDescent="0.45">
      <c r="B30" s="4" t="s">
        <v>44</v>
      </c>
      <c r="C30" s="4"/>
      <c r="D30" s="47" t="str">
        <f>IF(D22&gt;$C$18,"",IF(D22&lt;$C$17,"",D29-D28))</f>
        <v/>
      </c>
      <c r="E30" s="47">
        <f t="shared" ref="E30:M30" si="13">IF(E22&gt;$C$18,"",IF(E22&lt;$C$17,"",E29-E28))</f>
        <v>76.000000000000114</v>
      </c>
      <c r="F30" s="47">
        <f t="shared" si="13"/>
        <v>260</v>
      </c>
      <c r="G30" s="47">
        <f>IF(G22&gt;$C$18,"",IF(G22&lt;$C$17,"",G29-G28))</f>
        <v>180</v>
      </c>
      <c r="H30" s="47">
        <f t="shared" si="13"/>
        <v>100</v>
      </c>
      <c r="I30" s="47">
        <f t="shared" si="13"/>
        <v>20</v>
      </c>
      <c r="J30" s="47">
        <f t="shared" si="13"/>
        <v>-10</v>
      </c>
      <c r="K30" s="47">
        <f t="shared" si="13"/>
        <v>128</v>
      </c>
      <c r="L30" s="47">
        <f t="shared" si="13"/>
        <v>93</v>
      </c>
      <c r="M30" s="47">
        <f t="shared" si="13"/>
        <v>60</v>
      </c>
    </row>
    <row r="31" spans="2:13" ht="16" customHeight="1" x14ac:dyDescent="0.35">
      <c r="B31" s="33" t="s">
        <v>11</v>
      </c>
      <c r="D31" s="39" t="str">
        <f>IFERROR(D30/D28,"")</f>
        <v/>
      </c>
      <c r="E31" s="39">
        <f>IFERROR(E30/E28,"")</f>
        <v>0.10000000000000014</v>
      </c>
      <c r="F31" s="39">
        <f t="shared" ref="F31:M31" si="14">IFERROR(F30/F28,"")</f>
        <v>0.35135135135135137</v>
      </c>
      <c r="G31" s="39">
        <f>IFERROR(G30/G28,"")</f>
        <v>0.25</v>
      </c>
      <c r="H31" s="39">
        <f t="shared" si="14"/>
        <v>0.14285714285714285</v>
      </c>
      <c r="I31" s="39">
        <f t="shared" si="14"/>
        <v>2.9411764705882353E-2</v>
      </c>
      <c r="J31" s="39">
        <f>IFERROR(J30/J28,"")</f>
        <v>-1.5151515151515152E-2</v>
      </c>
      <c r="K31" s="39">
        <f t="shared" si="14"/>
        <v>0.2</v>
      </c>
      <c r="L31" s="39">
        <f t="shared" si="14"/>
        <v>0.15</v>
      </c>
      <c r="M31" s="39">
        <f t="shared" si="14"/>
        <v>0.1</v>
      </c>
    </row>
    <row r="32" spans="2:13" ht="16" customHeight="1" x14ac:dyDescent="0.45">
      <c r="B32" s="4" t="s">
        <v>45</v>
      </c>
      <c r="C32" s="4"/>
      <c r="D32" s="48" t="str">
        <f t="shared" ref="D32:M32" si="15">IF(D22&gt;$C$18,"",IF(D22&lt;$C$17,"",$C$39*$C$11))</f>
        <v/>
      </c>
      <c r="E32" s="48">
        <f t="shared" si="15"/>
        <v>612</v>
      </c>
      <c r="F32" s="48">
        <f t="shared" si="15"/>
        <v>612</v>
      </c>
      <c r="G32" s="48">
        <f t="shared" si="15"/>
        <v>612</v>
      </c>
      <c r="H32" s="48">
        <f t="shared" si="15"/>
        <v>612</v>
      </c>
      <c r="I32" s="48">
        <f t="shared" si="15"/>
        <v>612</v>
      </c>
      <c r="J32" s="48">
        <f t="shared" si="15"/>
        <v>612</v>
      </c>
      <c r="K32" s="48">
        <f t="shared" si="15"/>
        <v>612</v>
      </c>
      <c r="L32" s="48">
        <f t="shared" si="15"/>
        <v>612</v>
      </c>
      <c r="M32" s="48">
        <f t="shared" si="15"/>
        <v>612</v>
      </c>
    </row>
    <row r="33" spans="2:13" ht="31" x14ac:dyDescent="0.45">
      <c r="B33" s="40" t="s">
        <v>46</v>
      </c>
      <c r="D33" s="44">
        <f>IF(D22&gt;$C$18,"0",$C$39-SUM($D$30:D30))</f>
        <v>1530</v>
      </c>
      <c r="E33" s="44">
        <f>IF(E22&gt;$C$18,"",$C$39-SUM($D$30:E30))</f>
        <v>1454</v>
      </c>
      <c r="F33" s="44">
        <f>IF(F22&gt;$C$18,"",$C$39-SUM($D$30:F30))</f>
        <v>1194</v>
      </c>
      <c r="G33" s="44">
        <f>IF(G22&gt;$C$18,"",$C$39-SUM($D$30:G30))</f>
        <v>1013.9999999999999</v>
      </c>
      <c r="H33" s="44">
        <f>IF(H22&gt;$C$18,"",$C$39-SUM($D$30:H30))</f>
        <v>913.99999999999989</v>
      </c>
      <c r="I33" s="44">
        <f>IF(I22&gt;$C$18,"",$C$39-SUM($D$30:I30))</f>
        <v>893.99999999999989</v>
      </c>
      <c r="J33" s="44">
        <f>IF(J22&gt;$C$18,"",$C$39-SUM($D$30:J30))</f>
        <v>903.99999999999989</v>
      </c>
      <c r="K33" s="44">
        <f>IF(K22&gt;$C$18,"",$C$39-SUM($D$30:K30))</f>
        <v>775.99999999999989</v>
      </c>
      <c r="L33" s="44">
        <f>IF(L22&gt;$C$18,"",$C$39-SUM($D$30:L30))</f>
        <v>682.99999999999989</v>
      </c>
      <c r="M33" s="44">
        <f>IF(M22&gt;$C$18,"",$C$39-SUM($D$30:M30))</f>
        <v>622.99999999999989</v>
      </c>
    </row>
    <row r="34" spans="2:13" ht="43.5" x14ac:dyDescent="0.35">
      <c r="B34" s="49" t="s">
        <v>47</v>
      </c>
      <c r="C34" s="50"/>
      <c r="D34" s="51" t="str">
        <f>IF(D22&gt;$C$18,"",IF(D22&lt;$C$17,"",IF(D33&gt;=0,1,0)))</f>
        <v/>
      </c>
      <c r="E34" s="51">
        <f t="shared" ref="E34:M34" si="16">IF(E22&gt;$C$18,"",IF(E22&lt;$C$17,"",IF(E33&gt;=0,1,0)))</f>
        <v>1</v>
      </c>
      <c r="F34" s="51">
        <f t="shared" si="16"/>
        <v>1</v>
      </c>
      <c r="G34" s="51">
        <f t="shared" si="16"/>
        <v>1</v>
      </c>
      <c r="H34" s="51">
        <f t="shared" si="16"/>
        <v>1</v>
      </c>
      <c r="I34" s="51">
        <f t="shared" si="16"/>
        <v>1</v>
      </c>
      <c r="J34" s="51">
        <f t="shared" si="16"/>
        <v>1</v>
      </c>
      <c r="K34" s="51">
        <f>IF(K22&gt;$C$18,"",IF(K22&lt;$C$17,"",IF(K33&gt;=0,1,0)))</f>
        <v>1</v>
      </c>
      <c r="L34" s="51">
        <f t="shared" si="16"/>
        <v>1</v>
      </c>
      <c r="M34" s="51">
        <f t="shared" si="16"/>
        <v>1</v>
      </c>
    </row>
    <row r="35" spans="2:13" ht="37.5" customHeight="1" x14ac:dyDescent="0.35">
      <c r="B35" s="41" t="s">
        <v>48</v>
      </c>
      <c r="C35" s="42"/>
      <c r="D35" s="43" t="str">
        <f>IF(D22&gt;$C$18,"",IF(D22&lt;$C$17,"",IF(D30&lt;=$C$40,1,0)))</f>
        <v/>
      </c>
      <c r="E35" s="43">
        <f>IF(E22&gt;$C$18,"",IF(E22&lt;$C$17,"",IF(E30&lt;=E32,1,0)))</f>
        <v>1</v>
      </c>
      <c r="F35" s="43">
        <f t="shared" ref="F35:M35" si="17">IF(F22&gt;$C$18,"",IF(F22&lt;$C$17,"",IF(F30&lt;=F32,1,0)))</f>
        <v>1</v>
      </c>
      <c r="G35" s="43">
        <f t="shared" si="17"/>
        <v>1</v>
      </c>
      <c r="H35" s="43">
        <f t="shared" si="17"/>
        <v>1</v>
      </c>
      <c r="I35" s="43">
        <f t="shared" si="17"/>
        <v>1</v>
      </c>
      <c r="J35" s="43">
        <f t="shared" si="17"/>
        <v>1</v>
      </c>
      <c r="K35" s="43">
        <f t="shared" si="17"/>
        <v>1</v>
      </c>
      <c r="L35" s="43">
        <f t="shared" si="17"/>
        <v>1</v>
      </c>
      <c r="M35" s="43">
        <f t="shared" si="17"/>
        <v>1</v>
      </c>
    </row>
    <row r="36" spans="2:13" ht="16" customHeight="1" x14ac:dyDescent="0.35">
      <c r="B36" s="52" t="s">
        <v>49</v>
      </c>
      <c r="C36" s="50"/>
      <c r="D36" s="51" t="str">
        <f>IF(D22&gt;$C$18,"",IF(D22&lt;$C$17,"",IF(AND(D35=1,D34=1),1,0)))</f>
        <v/>
      </c>
      <c r="E36" s="51">
        <f t="shared" ref="E36:M36" si="18">IF(E22&gt;$C$18,"",IF(E22&lt;$C$17,"",IF(AND(E35=1,E34=1),1,0)))</f>
        <v>1</v>
      </c>
      <c r="F36" s="51">
        <f t="shared" si="18"/>
        <v>1</v>
      </c>
      <c r="G36" s="51">
        <f t="shared" si="18"/>
        <v>1</v>
      </c>
      <c r="H36" s="51">
        <f t="shared" si="18"/>
        <v>1</v>
      </c>
      <c r="I36" s="51">
        <f t="shared" si="18"/>
        <v>1</v>
      </c>
      <c r="J36" s="51">
        <f t="shared" si="18"/>
        <v>1</v>
      </c>
      <c r="K36" s="51">
        <f t="shared" si="18"/>
        <v>1</v>
      </c>
      <c r="L36" s="51">
        <f t="shared" si="18"/>
        <v>1</v>
      </c>
      <c r="M36" s="51">
        <f t="shared" si="18"/>
        <v>1</v>
      </c>
    </row>
    <row r="37" spans="2:13" ht="16" customHeight="1" x14ac:dyDescent="0.35"/>
    <row r="38" spans="2:13" ht="16" customHeight="1" x14ac:dyDescent="0.45">
      <c r="B38" s="71" t="s">
        <v>50</v>
      </c>
      <c r="C38" s="72">
        <f>SUMIFS(C28:M28, $C$27:$M$27, "&gt;="&amp;C17, $C$27:$M$27, "&lt;="&amp;C18)</f>
        <v>6120</v>
      </c>
    </row>
    <row r="39" spans="2:13" ht="16" customHeight="1" x14ac:dyDescent="0.45">
      <c r="B39" s="71" t="s">
        <v>51</v>
      </c>
      <c r="C39" s="73">
        <f>C38*C10</f>
        <v>1530</v>
      </c>
    </row>
    <row r="40" spans="2:13" ht="16.5" x14ac:dyDescent="0.45">
      <c r="B40" s="71" t="s">
        <v>52</v>
      </c>
      <c r="C40" s="72">
        <f>C39*C11</f>
        <v>612</v>
      </c>
      <c r="D40" s="46"/>
      <c r="E40" s="46"/>
      <c r="F40" s="46"/>
      <c r="G40" s="46"/>
      <c r="H40" s="46"/>
      <c r="I40" s="46"/>
      <c r="J40" s="46"/>
      <c r="K40" s="46"/>
      <c r="L40" s="46"/>
      <c r="M40" s="46"/>
    </row>
    <row r="56" spans="2:13" x14ac:dyDescent="0.35">
      <c r="B56" s="63"/>
      <c r="C56" s="63"/>
      <c r="D56" s="63"/>
      <c r="E56" s="63"/>
      <c r="F56" s="63"/>
      <c r="G56" s="63"/>
      <c r="H56" s="63"/>
      <c r="I56" s="63"/>
      <c r="J56" s="63"/>
      <c r="K56" s="63"/>
      <c r="L56" s="63"/>
      <c r="M56" s="63"/>
    </row>
  </sheetData>
  <sheetProtection algorithmName="SHA-512" hashValue="DlwZZPsW5veYUnWmGG45Dfv6chEj/CsDJQakElNPE403JavfxQEKCrnos0kf+y8d/a/RDq1WMQJKoamAIb2+LA==" saltValue="Yq6gNnihjzwshqt/cOhL5Q==" spinCount="100000" sheet="1" objects="1" scenarios="1"/>
  <mergeCells count="1">
    <mergeCell ref="B1:D2"/>
  </mergeCells>
  <conditionalFormatting sqref="C34:M36">
    <cfRule type="iconSet" priority="10">
      <iconSet iconSet="3Symbols2" showValue="0">
        <cfvo type="percent" val="0"/>
        <cfvo type="num" val="0" gte="0"/>
        <cfvo type="num" val="0" gte="0"/>
      </iconSet>
    </cfRule>
  </conditionalFormatting>
  <pageMargins left="0.7" right="0.7" top="0.75" bottom="0.75" header="0.3" footer="0.3"/>
  <drawing r:id="rId1"/>
  <legacyDrawing r:id="rId2"/>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4F71AF7-85A1-4CF9-BFFF-69F85332E4AE}">
  <dimension ref="B1:M55"/>
  <sheetViews>
    <sheetView zoomScale="85" zoomScaleNormal="85" workbookViewId="0">
      <selection activeCell="F27" sqref="F27"/>
    </sheetView>
  </sheetViews>
  <sheetFormatPr defaultColWidth="9.1796875" defaultRowHeight="14.5" x14ac:dyDescent="0.35"/>
  <cols>
    <col min="1" max="1" width="9.1796875" style="33"/>
    <col min="2" max="2" width="48.26953125" style="33" customWidth="1"/>
    <col min="3" max="13" width="10.1796875" style="33" customWidth="1"/>
    <col min="14" max="17" width="8" style="33" customWidth="1"/>
    <col min="18" max="16384" width="9.1796875" style="33"/>
  </cols>
  <sheetData>
    <row r="1" spans="2:13" x14ac:dyDescent="0.35">
      <c r="B1" s="86" t="e" vm="1">
        <v>#VALUE!</v>
      </c>
      <c r="C1" s="86"/>
      <c r="D1" s="86"/>
    </row>
    <row r="2" spans="2:13" x14ac:dyDescent="0.35">
      <c r="B2" s="86"/>
      <c r="C2" s="86"/>
      <c r="D2" s="86"/>
    </row>
    <row r="3" spans="2:13" x14ac:dyDescent="0.35">
      <c r="B3" s="66"/>
      <c r="C3" s="66"/>
      <c r="D3" s="66"/>
    </row>
    <row r="4" spans="2:13" x14ac:dyDescent="0.35">
      <c r="B4" s="53" t="s">
        <v>23</v>
      </c>
      <c r="C4" s="54"/>
      <c r="D4" s="54"/>
      <c r="E4" s="54"/>
      <c r="F4" s="54"/>
      <c r="G4" s="54"/>
      <c r="H4" s="54"/>
      <c r="I4" s="54"/>
      <c r="J4" s="54"/>
      <c r="K4" s="54"/>
      <c r="L4" s="54"/>
      <c r="M4" s="54"/>
    </row>
    <row r="5" spans="2:13" x14ac:dyDescent="0.35">
      <c r="B5" s="70" t="s">
        <v>53</v>
      </c>
    </row>
    <row r="6" spans="2:13" x14ac:dyDescent="0.35">
      <c r="B6" s="70" t="s">
        <v>25</v>
      </c>
    </row>
    <row r="7" spans="2:13" x14ac:dyDescent="0.35">
      <c r="B7" s="70"/>
    </row>
    <row r="8" spans="2:13" x14ac:dyDescent="0.35">
      <c r="B8" s="53" t="s">
        <v>26</v>
      </c>
      <c r="C8" s="54"/>
      <c r="D8" s="54"/>
      <c r="E8" s="54"/>
      <c r="F8" s="54"/>
      <c r="G8" s="54"/>
      <c r="H8" s="54"/>
      <c r="I8" s="54"/>
      <c r="J8" s="54"/>
      <c r="K8" s="54"/>
      <c r="L8" s="54"/>
      <c r="M8" s="54"/>
    </row>
    <row r="9" spans="2:13" x14ac:dyDescent="0.35">
      <c r="B9" s="34" t="s">
        <v>27</v>
      </c>
      <c r="C9" s="33" t="s">
        <v>28</v>
      </c>
    </row>
    <row r="10" spans="2:13" x14ac:dyDescent="0.35">
      <c r="B10" s="33" t="s">
        <v>29</v>
      </c>
      <c r="C10" s="28">
        <v>0.25</v>
      </c>
      <c r="D10" s="33" t="s">
        <v>30</v>
      </c>
    </row>
    <row r="11" spans="2:13" x14ac:dyDescent="0.35">
      <c r="B11" s="33" t="s">
        <v>31</v>
      </c>
      <c r="C11" s="28">
        <v>0.4</v>
      </c>
      <c r="D11" s="33" t="s">
        <v>32</v>
      </c>
    </row>
    <row r="13" spans="2:13" x14ac:dyDescent="0.35">
      <c r="B13" s="53" t="s">
        <v>33</v>
      </c>
      <c r="C13" s="54"/>
      <c r="D13" s="54"/>
      <c r="E13" s="54"/>
      <c r="F13" s="54"/>
      <c r="G13" s="54"/>
      <c r="H13" s="54"/>
      <c r="I13" s="54"/>
      <c r="J13" s="54"/>
      <c r="K13" s="54"/>
      <c r="L13" s="54"/>
      <c r="M13" s="54"/>
    </row>
    <row r="14" spans="2:13" x14ac:dyDescent="0.35">
      <c r="B14" s="34" t="s">
        <v>34</v>
      </c>
    </row>
    <row r="15" spans="2:13" x14ac:dyDescent="0.35">
      <c r="B15" s="35" t="s">
        <v>35</v>
      </c>
      <c r="C15" s="30">
        <v>2020</v>
      </c>
    </row>
    <row r="16" spans="2:13" ht="16.5" x14ac:dyDescent="0.45">
      <c r="B16" s="35" t="s">
        <v>54</v>
      </c>
      <c r="C16" s="30">
        <v>8</v>
      </c>
    </row>
    <row r="17" spans="2:13" ht="16.5" x14ac:dyDescent="0.35">
      <c r="B17" s="33" t="s">
        <v>37</v>
      </c>
      <c r="C17" s="30">
        <v>2022</v>
      </c>
    </row>
    <row r="18" spans="2:13" x14ac:dyDescent="0.35">
      <c r="B18" s="33" t="s">
        <v>38</v>
      </c>
      <c r="C18" s="30">
        <v>2030</v>
      </c>
    </row>
    <row r="19" spans="2:13" x14ac:dyDescent="0.35">
      <c r="B19" s="33" t="s">
        <v>39</v>
      </c>
      <c r="C19" s="31">
        <v>0.51600000000000001</v>
      </c>
    </row>
    <row r="21" spans="2:13" x14ac:dyDescent="0.35">
      <c r="B21" s="34" t="s">
        <v>40</v>
      </c>
    </row>
    <row r="22" spans="2:13" x14ac:dyDescent="0.35">
      <c r="B22" s="33" t="s">
        <v>1</v>
      </c>
      <c r="C22" s="33">
        <f>$C$15</f>
        <v>2020</v>
      </c>
      <c r="D22" s="33">
        <f>C22+1</f>
        <v>2021</v>
      </c>
      <c r="E22" s="33">
        <f t="shared" ref="E22:M22" si="0">D22+1</f>
        <v>2022</v>
      </c>
      <c r="F22" s="33">
        <f t="shared" si="0"/>
        <v>2023</v>
      </c>
      <c r="G22" s="33">
        <f t="shared" si="0"/>
        <v>2024</v>
      </c>
      <c r="H22" s="33">
        <f t="shared" si="0"/>
        <v>2025</v>
      </c>
      <c r="I22" s="33">
        <f t="shared" si="0"/>
        <v>2026</v>
      </c>
      <c r="J22" s="33">
        <f t="shared" si="0"/>
        <v>2027</v>
      </c>
      <c r="K22" s="33">
        <f t="shared" si="0"/>
        <v>2028</v>
      </c>
      <c r="L22" s="33">
        <f t="shared" si="0"/>
        <v>2029</v>
      </c>
      <c r="M22" s="33">
        <f t="shared" si="0"/>
        <v>2030</v>
      </c>
    </row>
    <row r="23" spans="2:13" ht="16.5" x14ac:dyDescent="0.45">
      <c r="B23" s="33" t="s">
        <v>55</v>
      </c>
      <c r="C23" s="36">
        <f>C16</f>
        <v>8</v>
      </c>
      <c r="D23" s="36">
        <f>$C$16*(1-($C$19*((D22-$C$15)/($C$18-$C$15))))</f>
        <v>7.5872000000000002</v>
      </c>
      <c r="E23" s="36">
        <f t="shared" ref="E23:M23" si="1">$C$16*(1-($C$19*((E22-$C$15)/($C$18-$C$15))))</f>
        <v>7.1744000000000003</v>
      </c>
      <c r="F23" s="36">
        <f t="shared" si="1"/>
        <v>6.7615999999999996</v>
      </c>
      <c r="G23" s="36">
        <f t="shared" si="1"/>
        <v>6.3487999999999998</v>
      </c>
      <c r="H23" s="36">
        <f t="shared" si="1"/>
        <v>5.9359999999999999</v>
      </c>
      <c r="I23" s="36">
        <f t="shared" si="1"/>
        <v>5.5232000000000001</v>
      </c>
      <c r="J23" s="36">
        <f t="shared" si="1"/>
        <v>5.1104000000000003</v>
      </c>
      <c r="K23" s="36">
        <f t="shared" si="1"/>
        <v>4.6975999999999996</v>
      </c>
      <c r="L23" s="36">
        <f t="shared" si="1"/>
        <v>4.2847999999999997</v>
      </c>
      <c r="M23" s="36">
        <f t="shared" si="1"/>
        <v>3.8719999999999999</v>
      </c>
    </row>
    <row r="24" spans="2:13" ht="16.5" x14ac:dyDescent="0.45">
      <c r="B24" s="33" t="s">
        <v>56</v>
      </c>
      <c r="C24" s="36"/>
      <c r="D24" s="32"/>
      <c r="E24" s="32">
        <v>7.8918400000000011</v>
      </c>
      <c r="F24" s="32">
        <v>7.7758399999999988</v>
      </c>
      <c r="G24" s="32">
        <v>7.6185599999999996</v>
      </c>
      <c r="H24" s="32">
        <v>7.3606400000000001</v>
      </c>
      <c r="I24" s="32">
        <v>6.62784</v>
      </c>
      <c r="J24" s="32">
        <v>5.8769599999999995</v>
      </c>
      <c r="K24" s="32">
        <v>5.1673599999999995</v>
      </c>
      <c r="L24" s="32">
        <v>4.4990399999999999</v>
      </c>
      <c r="M24" s="32">
        <v>3.8719999999999999</v>
      </c>
    </row>
    <row r="26" spans="2:13" x14ac:dyDescent="0.35">
      <c r="B26" s="53" t="s">
        <v>43</v>
      </c>
      <c r="C26" s="54"/>
      <c r="D26" s="54"/>
      <c r="E26" s="54"/>
      <c r="F26" s="54"/>
      <c r="G26" s="54"/>
      <c r="H26" s="54"/>
      <c r="I26" s="54"/>
      <c r="J26" s="54"/>
      <c r="K26" s="54"/>
      <c r="L26" s="54"/>
      <c r="M26" s="54"/>
    </row>
    <row r="27" spans="2:13" x14ac:dyDescent="0.35">
      <c r="B27" s="33" t="s">
        <v>1</v>
      </c>
      <c r="C27" s="33">
        <f>$C$15</f>
        <v>2020</v>
      </c>
      <c r="D27" s="33">
        <f>C27+1</f>
        <v>2021</v>
      </c>
      <c r="E27" s="33">
        <f t="shared" ref="E27:M27" si="2">D27+1</f>
        <v>2022</v>
      </c>
      <c r="F27" s="33">
        <f t="shared" si="2"/>
        <v>2023</v>
      </c>
      <c r="G27" s="33">
        <f t="shared" si="2"/>
        <v>2024</v>
      </c>
      <c r="H27" s="33">
        <f t="shared" si="2"/>
        <v>2025</v>
      </c>
      <c r="I27" s="33">
        <f t="shared" si="2"/>
        <v>2026</v>
      </c>
      <c r="J27" s="33">
        <f t="shared" si="2"/>
        <v>2027</v>
      </c>
      <c r="K27" s="33">
        <f t="shared" si="2"/>
        <v>2028</v>
      </c>
      <c r="L27" s="33">
        <f t="shared" si="2"/>
        <v>2029</v>
      </c>
      <c r="M27" s="33">
        <f t="shared" si="2"/>
        <v>2030</v>
      </c>
    </row>
    <row r="28" spans="2:13" ht="16.5" x14ac:dyDescent="0.45">
      <c r="B28" s="4" t="s">
        <v>55</v>
      </c>
      <c r="C28" s="55">
        <f t="shared" ref="C28:M28" si="3">C23</f>
        <v>8</v>
      </c>
      <c r="D28" s="55">
        <f t="shared" si="3"/>
        <v>7.5872000000000002</v>
      </c>
      <c r="E28" s="55">
        <f t="shared" si="3"/>
        <v>7.1744000000000003</v>
      </c>
      <c r="F28" s="55">
        <f t="shared" si="3"/>
        <v>6.7615999999999996</v>
      </c>
      <c r="G28" s="55">
        <f t="shared" si="3"/>
        <v>6.3487999999999998</v>
      </c>
      <c r="H28" s="55">
        <f t="shared" si="3"/>
        <v>5.9359999999999999</v>
      </c>
      <c r="I28" s="55">
        <f t="shared" si="3"/>
        <v>5.5232000000000001</v>
      </c>
      <c r="J28" s="55">
        <f t="shared" si="3"/>
        <v>5.1104000000000003</v>
      </c>
      <c r="K28" s="55">
        <f t="shared" si="3"/>
        <v>4.6975999999999996</v>
      </c>
      <c r="L28" s="55">
        <f t="shared" si="3"/>
        <v>4.2847999999999997</v>
      </c>
      <c r="M28" s="55">
        <f t="shared" si="3"/>
        <v>3.8719999999999999</v>
      </c>
    </row>
    <row r="29" spans="2:13" ht="16.5" x14ac:dyDescent="0.45">
      <c r="B29" s="33" t="s">
        <v>56</v>
      </c>
      <c r="C29" s="36"/>
      <c r="D29" s="37" t="str">
        <f t="shared" ref="D29:M29" si="4">IF(D22&gt;$C$18,"n/a",IF(D22&lt;$C$17,"n/a",D24))</f>
        <v>n/a</v>
      </c>
      <c r="E29" s="37">
        <f t="shared" si="4"/>
        <v>7.8918400000000011</v>
      </c>
      <c r="F29" s="37">
        <f t="shared" si="4"/>
        <v>7.7758399999999988</v>
      </c>
      <c r="G29" s="37">
        <f t="shared" si="4"/>
        <v>7.6185599999999996</v>
      </c>
      <c r="H29" s="37">
        <f t="shared" si="4"/>
        <v>7.3606400000000001</v>
      </c>
      <c r="I29" s="37">
        <f t="shared" si="4"/>
        <v>6.62784</v>
      </c>
      <c r="J29" s="37">
        <f t="shared" si="4"/>
        <v>5.8769599999999995</v>
      </c>
      <c r="K29" s="37">
        <f t="shared" si="4"/>
        <v>5.1673599999999995</v>
      </c>
      <c r="L29" s="37">
        <f t="shared" si="4"/>
        <v>4.4990399999999999</v>
      </c>
      <c r="M29" s="37">
        <f t="shared" si="4"/>
        <v>3.8719999999999999</v>
      </c>
    </row>
    <row r="30" spans="2:13" ht="16.5" x14ac:dyDescent="0.45">
      <c r="B30" s="4" t="s">
        <v>57</v>
      </c>
      <c r="C30" s="55"/>
      <c r="D30" s="55" t="str">
        <f t="shared" ref="D30:M30" si="5">IF(D22&gt;$C$18,"",IF(D22&lt;$C$17,"",D29-D28))</f>
        <v/>
      </c>
      <c r="E30" s="55">
        <f t="shared" si="5"/>
        <v>0.71744000000000074</v>
      </c>
      <c r="F30" s="55">
        <f t="shared" si="5"/>
        <v>1.0142399999999991</v>
      </c>
      <c r="G30" s="55">
        <f t="shared" si="5"/>
        <v>1.2697599999999998</v>
      </c>
      <c r="H30" s="55">
        <f t="shared" si="5"/>
        <v>1.4246400000000001</v>
      </c>
      <c r="I30" s="55">
        <f t="shared" si="5"/>
        <v>1.1046399999999998</v>
      </c>
      <c r="J30" s="55">
        <f t="shared" si="5"/>
        <v>0.76655999999999924</v>
      </c>
      <c r="K30" s="55">
        <f t="shared" si="5"/>
        <v>0.46975999999999996</v>
      </c>
      <c r="L30" s="55">
        <f t="shared" si="5"/>
        <v>0.21424000000000021</v>
      </c>
      <c r="M30" s="55">
        <f t="shared" si="5"/>
        <v>0</v>
      </c>
    </row>
    <row r="31" spans="2:13" x14ac:dyDescent="0.35">
      <c r="B31" s="33" t="s">
        <v>11</v>
      </c>
      <c r="C31" s="36"/>
      <c r="D31" s="38" t="str">
        <f>IFERROR(D30/D28,"")</f>
        <v/>
      </c>
      <c r="E31" s="39">
        <f t="shared" ref="E31:M31" si="6">IFERROR(E30/E28,"")</f>
        <v>0.1000000000000001</v>
      </c>
      <c r="F31" s="39">
        <f t="shared" si="6"/>
        <v>0.14999999999999988</v>
      </c>
      <c r="G31" s="39">
        <f t="shared" si="6"/>
        <v>0.19999999999999998</v>
      </c>
      <c r="H31" s="39">
        <f t="shared" si="6"/>
        <v>0.24000000000000002</v>
      </c>
      <c r="I31" s="39">
        <f t="shared" si="6"/>
        <v>0.19999999999999996</v>
      </c>
      <c r="J31" s="39">
        <f t="shared" si="6"/>
        <v>0.14999999999999986</v>
      </c>
      <c r="K31" s="39">
        <f t="shared" si="6"/>
        <v>0.1</v>
      </c>
      <c r="L31" s="39">
        <f t="shared" si="6"/>
        <v>5.0000000000000051E-2</v>
      </c>
      <c r="M31" s="39">
        <f t="shared" si="6"/>
        <v>0</v>
      </c>
    </row>
    <row r="32" spans="2:13" ht="16.5" x14ac:dyDescent="0.45">
      <c r="B32" s="4" t="s">
        <v>58</v>
      </c>
      <c r="C32" s="55"/>
      <c r="D32" s="56" t="str">
        <f t="shared" ref="D32:M32" si="7">IF(D22&gt;$C$18,"",IF(D22&lt;$C$17,"",$C$39*$C$11))</f>
        <v/>
      </c>
      <c r="E32" s="56">
        <f t="shared" si="7"/>
        <v>4.9708800000000002</v>
      </c>
      <c r="F32" s="56">
        <f t="shared" si="7"/>
        <v>4.9708800000000002</v>
      </c>
      <c r="G32" s="56">
        <f t="shared" si="7"/>
        <v>4.9708800000000002</v>
      </c>
      <c r="H32" s="56">
        <f t="shared" si="7"/>
        <v>4.9708800000000002</v>
      </c>
      <c r="I32" s="56">
        <f t="shared" si="7"/>
        <v>4.9708800000000002</v>
      </c>
      <c r="J32" s="56">
        <f t="shared" si="7"/>
        <v>4.9708800000000002</v>
      </c>
      <c r="K32" s="56">
        <f t="shared" si="7"/>
        <v>4.9708800000000002</v>
      </c>
      <c r="L32" s="56">
        <f t="shared" si="7"/>
        <v>4.9708800000000002</v>
      </c>
      <c r="M32" s="56">
        <f t="shared" si="7"/>
        <v>4.9708800000000002</v>
      </c>
    </row>
    <row r="33" spans="2:13" ht="31" x14ac:dyDescent="0.45">
      <c r="B33" s="40" t="s">
        <v>59</v>
      </c>
      <c r="C33" s="36"/>
      <c r="D33" s="36">
        <f>IF(D22&gt;$C$18,"0",$C$39-SUM($D$30:D30))</f>
        <v>12.427199999999999</v>
      </c>
      <c r="E33" s="36">
        <f>IF(E22&gt;$C$18,"",$C$39-SUM($D$30:E30))</f>
        <v>11.709759999999999</v>
      </c>
      <c r="F33" s="36">
        <f>IF(F22&gt;$C$18,"",$C$39-SUM($D$30:F30))</f>
        <v>10.695519999999998</v>
      </c>
      <c r="G33" s="36">
        <f>IF(G22&gt;$C$18,"",$C$39-SUM($D$30:G30))</f>
        <v>9.4257600000000004</v>
      </c>
      <c r="H33" s="36">
        <f>IF(H22&gt;$C$18,"",$C$39-SUM($D$30:H30))</f>
        <v>8.0011200000000002</v>
      </c>
      <c r="I33" s="36">
        <f>IF(I22&gt;$C$18,"",$C$39-SUM($D$30:I30))</f>
        <v>6.8964799999999995</v>
      </c>
      <c r="J33" s="36">
        <f>IF(J22&gt;$C$18,"",$C$39-SUM($D$30:J30))</f>
        <v>6.1299200000000003</v>
      </c>
      <c r="K33" s="36">
        <f>IF(K22&gt;$C$18,"",$C$39-SUM($D$30:K30))</f>
        <v>5.6601600000000003</v>
      </c>
      <c r="L33" s="36">
        <f>IF(L22&gt;$C$18,"",$C$39-SUM($D$30:L30))</f>
        <v>5.4459200000000001</v>
      </c>
      <c r="M33" s="36">
        <f>IF(M22&gt;$C$18,"",$C$39-SUM($D$30:M30))</f>
        <v>5.4459200000000001</v>
      </c>
    </row>
    <row r="34" spans="2:13" ht="29" x14ac:dyDescent="0.35">
      <c r="B34" s="49" t="s">
        <v>47</v>
      </c>
      <c r="C34" s="50"/>
      <c r="D34" s="51" t="str">
        <f t="shared" ref="D34:M34" si="8">IF(D22&gt;$C$18,"",IF(D22&lt;$C$17,"",IF(D33&gt;=0,1,0)))</f>
        <v/>
      </c>
      <c r="E34" s="51">
        <f t="shared" si="8"/>
        <v>1</v>
      </c>
      <c r="F34" s="51">
        <f t="shared" si="8"/>
        <v>1</v>
      </c>
      <c r="G34" s="51">
        <f t="shared" si="8"/>
        <v>1</v>
      </c>
      <c r="H34" s="51">
        <f t="shared" si="8"/>
        <v>1</v>
      </c>
      <c r="I34" s="51">
        <f t="shared" si="8"/>
        <v>1</v>
      </c>
      <c r="J34" s="51">
        <f t="shared" si="8"/>
        <v>1</v>
      </c>
      <c r="K34" s="51">
        <f t="shared" si="8"/>
        <v>1</v>
      </c>
      <c r="L34" s="51">
        <f t="shared" si="8"/>
        <v>1</v>
      </c>
      <c r="M34" s="51">
        <f t="shared" si="8"/>
        <v>1</v>
      </c>
    </row>
    <row r="35" spans="2:13" ht="29" x14ac:dyDescent="0.35">
      <c r="B35" s="41" t="s">
        <v>48</v>
      </c>
      <c r="C35" s="42"/>
      <c r="D35" s="43" t="str">
        <f>IF(D22&gt;$C$18,"",IF(D22&lt;$C$17,"",IF(D30&lt;=$C$40,1,0)))</f>
        <v/>
      </c>
      <c r="E35" s="43">
        <f>IF(E22&gt;$C$18,"",IF(E22&lt;$C$17,"",IF(E30&lt;=E32,1,0)))</f>
        <v>1</v>
      </c>
      <c r="F35" s="43">
        <f t="shared" ref="F35:M35" si="9">IF(F22&gt;$C$18,"",IF(F22&lt;$C$17,"",IF(F30&lt;=F32,1,0)))</f>
        <v>1</v>
      </c>
      <c r="G35" s="43">
        <f t="shared" si="9"/>
        <v>1</v>
      </c>
      <c r="H35" s="43">
        <f t="shared" si="9"/>
        <v>1</v>
      </c>
      <c r="I35" s="43">
        <f t="shared" si="9"/>
        <v>1</v>
      </c>
      <c r="J35" s="43">
        <f t="shared" si="9"/>
        <v>1</v>
      </c>
      <c r="K35" s="43">
        <f t="shared" si="9"/>
        <v>1</v>
      </c>
      <c r="L35" s="43">
        <f t="shared" si="9"/>
        <v>1</v>
      </c>
      <c r="M35" s="43">
        <f t="shared" si="9"/>
        <v>1</v>
      </c>
    </row>
    <row r="36" spans="2:13" x14ac:dyDescent="0.35">
      <c r="B36" s="52" t="s">
        <v>60</v>
      </c>
      <c r="C36" s="50"/>
      <c r="D36" s="51" t="str">
        <f t="shared" ref="D36:M36" si="10">IF(D22&gt;$C$18,"",IF(D22&lt;$C$17,"",IF(AND(D35=1,D34=1),1,0)))</f>
        <v/>
      </c>
      <c r="E36" s="51">
        <f t="shared" si="10"/>
        <v>1</v>
      </c>
      <c r="F36" s="51">
        <f t="shared" si="10"/>
        <v>1</v>
      </c>
      <c r="G36" s="51">
        <f t="shared" si="10"/>
        <v>1</v>
      </c>
      <c r="H36" s="51">
        <f t="shared" si="10"/>
        <v>1</v>
      </c>
      <c r="I36" s="51">
        <f t="shared" si="10"/>
        <v>1</v>
      </c>
      <c r="J36" s="51">
        <f t="shared" si="10"/>
        <v>1</v>
      </c>
      <c r="K36" s="51">
        <f t="shared" si="10"/>
        <v>1</v>
      </c>
      <c r="L36" s="51">
        <f t="shared" si="10"/>
        <v>1</v>
      </c>
      <c r="M36" s="51">
        <f t="shared" si="10"/>
        <v>1</v>
      </c>
    </row>
    <row r="38" spans="2:13" ht="16.5" x14ac:dyDescent="0.45">
      <c r="B38" s="71" t="s">
        <v>61</v>
      </c>
      <c r="C38" s="74">
        <f>SUMIFS(C28:M28, $C$27:$M$27, "&gt;="&amp;C17, $C$27:$M$27, "&lt;="&amp;C18)</f>
        <v>49.708799999999997</v>
      </c>
    </row>
    <row r="39" spans="2:13" ht="16.5" x14ac:dyDescent="0.45">
      <c r="B39" s="71" t="s">
        <v>62</v>
      </c>
      <c r="C39" s="74">
        <f>C38*C10</f>
        <v>12.427199999999999</v>
      </c>
    </row>
    <row r="40" spans="2:13" ht="16.5" x14ac:dyDescent="0.45">
      <c r="B40" s="71" t="s">
        <v>63</v>
      </c>
      <c r="C40" s="74">
        <f>C39*C11</f>
        <v>4.9708800000000002</v>
      </c>
    </row>
    <row r="55" spans="2:13" x14ac:dyDescent="0.35">
      <c r="B55" s="63"/>
      <c r="C55" s="63"/>
      <c r="D55" s="63"/>
      <c r="E55" s="63"/>
      <c r="F55" s="63"/>
      <c r="G55" s="63"/>
      <c r="H55" s="63"/>
      <c r="I55" s="63"/>
      <c r="J55" s="63"/>
      <c r="K55" s="63"/>
      <c r="L55" s="63"/>
      <c r="M55" s="63"/>
    </row>
  </sheetData>
  <sheetProtection algorithmName="SHA-512" hashValue="xAQlZvmIW+o/THBw4M5Ne20r1A+miq5Mv1sOZOwGgE+oNaukK3pyP9YiCBsrsaWNvFD0I1GYJvRjagfoFEYugw==" saltValue="wy6VVM/rwQinJ2ttOwqPTA==" spinCount="100000" sheet="1" objects="1" scenarios="1"/>
  <mergeCells count="1">
    <mergeCell ref="B1:D2"/>
  </mergeCells>
  <conditionalFormatting sqref="C34:M36">
    <cfRule type="iconSet" priority="1">
      <iconSet iconSet="3Symbols2" showValue="0">
        <cfvo type="percent" val="0"/>
        <cfvo type="num" val="0" gte="0"/>
        <cfvo type="num" val="0" gte="0"/>
      </iconSet>
    </cfRule>
  </conditionalFormatting>
  <pageMargins left="0.7" right="0.7" top="0.75" bottom="0.75" header="0.3" footer="0.3"/>
  <drawing r:id="rId1"/>
  <legacyDrawing r:id="rId2"/>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B19A82B-8FDD-435B-99CA-FF74B5C98281}">
  <dimension ref="B1:R58"/>
  <sheetViews>
    <sheetView zoomScale="70" zoomScaleNormal="70" workbookViewId="0">
      <selection activeCell="M45" sqref="M45"/>
    </sheetView>
  </sheetViews>
  <sheetFormatPr defaultRowHeight="14.5" x14ac:dyDescent="0.35"/>
  <cols>
    <col min="2" max="2" width="27.54296875" customWidth="1"/>
  </cols>
  <sheetData>
    <row r="1" spans="2:18" x14ac:dyDescent="0.35">
      <c r="B1" s="16" t="s">
        <v>27</v>
      </c>
      <c r="C1" t="s">
        <v>28</v>
      </c>
      <c r="G1" s="16" t="s">
        <v>23</v>
      </c>
    </row>
    <row r="2" spans="2:18" x14ac:dyDescent="0.35">
      <c r="B2" t="s">
        <v>31</v>
      </c>
      <c r="C2" s="22">
        <v>0.4</v>
      </c>
      <c r="D2" t="s">
        <v>64</v>
      </c>
      <c r="G2" t="s">
        <v>65</v>
      </c>
    </row>
    <row r="3" spans="2:18" x14ac:dyDescent="0.35">
      <c r="B3" t="s">
        <v>66</v>
      </c>
      <c r="C3" s="22">
        <v>0.25</v>
      </c>
      <c r="D3" t="s">
        <v>67</v>
      </c>
      <c r="G3" t="s">
        <v>68</v>
      </c>
    </row>
    <row r="4" spans="2:18" x14ac:dyDescent="0.35">
      <c r="C4" s="12"/>
      <c r="G4" s="26" t="s">
        <v>69</v>
      </c>
    </row>
    <row r="5" spans="2:18" x14ac:dyDescent="0.35">
      <c r="B5" s="16" t="s">
        <v>15</v>
      </c>
      <c r="C5" s="12"/>
    </row>
    <row r="6" spans="2:18" x14ac:dyDescent="0.35">
      <c r="B6" t="s">
        <v>1</v>
      </c>
      <c r="C6">
        <v>2020</v>
      </c>
      <c r="D6">
        <v>2021</v>
      </c>
      <c r="E6">
        <v>2022</v>
      </c>
      <c r="F6">
        <v>2023</v>
      </c>
      <c r="G6">
        <v>2024</v>
      </c>
      <c r="H6">
        <v>2025</v>
      </c>
      <c r="I6">
        <v>2026</v>
      </c>
      <c r="J6">
        <v>2027</v>
      </c>
      <c r="K6">
        <v>2028</v>
      </c>
      <c r="L6">
        <v>2029</v>
      </c>
      <c r="M6">
        <v>2030</v>
      </c>
      <c r="N6">
        <v>2031</v>
      </c>
      <c r="O6">
        <v>2032</v>
      </c>
      <c r="P6">
        <v>2033</v>
      </c>
      <c r="Q6">
        <v>2034</v>
      </c>
      <c r="R6">
        <v>2035</v>
      </c>
    </row>
    <row r="7" spans="2:18" x14ac:dyDescent="0.35">
      <c r="B7" t="s">
        <v>70</v>
      </c>
      <c r="C7" s="8">
        <v>400</v>
      </c>
      <c r="D7" s="7">
        <f>C7-$C$7*0.04</f>
        <v>384</v>
      </c>
      <c r="E7" s="7">
        <f t="shared" ref="E7:M7" si="0">D7-$C$7*0.04</f>
        <v>368</v>
      </c>
      <c r="F7" s="7">
        <f t="shared" si="0"/>
        <v>352</v>
      </c>
      <c r="G7" s="7">
        <f t="shared" si="0"/>
        <v>336</v>
      </c>
      <c r="H7" s="7">
        <f t="shared" si="0"/>
        <v>320</v>
      </c>
      <c r="I7" s="7">
        <f t="shared" si="0"/>
        <v>304</v>
      </c>
      <c r="J7" s="7">
        <f t="shared" si="0"/>
        <v>288</v>
      </c>
      <c r="K7" s="7">
        <f t="shared" si="0"/>
        <v>272</v>
      </c>
      <c r="L7" s="7">
        <f t="shared" si="0"/>
        <v>256</v>
      </c>
      <c r="M7" s="7">
        <f t="shared" si="0"/>
        <v>240</v>
      </c>
      <c r="N7" s="7">
        <v>240</v>
      </c>
      <c r="O7" s="7">
        <v>240</v>
      </c>
      <c r="P7" s="7">
        <v>240</v>
      </c>
      <c r="Q7" s="7">
        <v>240</v>
      </c>
      <c r="R7" s="7">
        <v>240</v>
      </c>
    </row>
    <row r="8" spans="2:18" x14ac:dyDescent="0.35">
      <c r="B8" t="s">
        <v>71</v>
      </c>
      <c r="C8" s="8">
        <v>800</v>
      </c>
      <c r="D8" s="11">
        <f>C8-$C$8*0.0167</f>
        <v>786.64</v>
      </c>
      <c r="E8" s="11">
        <f t="shared" ref="E8:R8" si="1">D8-$C$8*0.0167</f>
        <v>773.28</v>
      </c>
      <c r="F8" s="11">
        <f t="shared" si="1"/>
        <v>759.92</v>
      </c>
      <c r="G8" s="11">
        <f t="shared" si="1"/>
        <v>746.56</v>
      </c>
      <c r="H8" s="11">
        <f t="shared" si="1"/>
        <v>733.19999999999993</v>
      </c>
      <c r="I8" s="11">
        <f t="shared" si="1"/>
        <v>719.83999999999992</v>
      </c>
      <c r="J8" s="11">
        <f t="shared" si="1"/>
        <v>706.4799999999999</v>
      </c>
      <c r="K8" s="11">
        <f t="shared" si="1"/>
        <v>693.11999999999989</v>
      </c>
      <c r="L8" s="11">
        <f t="shared" si="1"/>
        <v>679.75999999999988</v>
      </c>
      <c r="M8" s="11">
        <f t="shared" si="1"/>
        <v>666.39999999999986</v>
      </c>
      <c r="N8" s="11">
        <f t="shared" si="1"/>
        <v>653.03999999999985</v>
      </c>
      <c r="O8" s="11">
        <f t="shared" si="1"/>
        <v>639.67999999999984</v>
      </c>
      <c r="P8" s="11">
        <f t="shared" si="1"/>
        <v>626.31999999999982</v>
      </c>
      <c r="Q8" s="11">
        <f t="shared" si="1"/>
        <v>612.95999999999981</v>
      </c>
      <c r="R8" s="11">
        <f t="shared" si="1"/>
        <v>599.5999999999998</v>
      </c>
    </row>
    <row r="9" spans="2:18" x14ac:dyDescent="0.35">
      <c r="B9" t="s">
        <v>72</v>
      </c>
      <c r="C9" s="11">
        <f>C8-C7</f>
        <v>400</v>
      </c>
      <c r="D9" s="11">
        <f t="shared" ref="D9:R9" si="2">D8-D7</f>
        <v>402.64</v>
      </c>
      <c r="E9" s="11">
        <f t="shared" si="2"/>
        <v>405.28</v>
      </c>
      <c r="F9" s="11">
        <f t="shared" si="2"/>
        <v>407.91999999999996</v>
      </c>
      <c r="G9" s="11">
        <f t="shared" si="2"/>
        <v>410.55999999999995</v>
      </c>
      <c r="H9" s="11">
        <f t="shared" si="2"/>
        <v>413.19999999999993</v>
      </c>
      <c r="I9" s="11">
        <f t="shared" si="2"/>
        <v>415.83999999999992</v>
      </c>
      <c r="J9" s="11">
        <f t="shared" si="2"/>
        <v>418.4799999999999</v>
      </c>
      <c r="K9" s="11">
        <f t="shared" si="2"/>
        <v>421.11999999999989</v>
      </c>
      <c r="L9" s="11">
        <f t="shared" si="2"/>
        <v>423.75999999999988</v>
      </c>
      <c r="M9" s="11">
        <f t="shared" si="2"/>
        <v>426.39999999999986</v>
      </c>
      <c r="N9" s="11">
        <f t="shared" si="2"/>
        <v>413.03999999999985</v>
      </c>
      <c r="O9" s="11">
        <f t="shared" si="2"/>
        <v>399.67999999999984</v>
      </c>
      <c r="P9" s="11">
        <f t="shared" si="2"/>
        <v>386.31999999999982</v>
      </c>
      <c r="Q9" s="11">
        <f t="shared" si="2"/>
        <v>372.95999999999981</v>
      </c>
      <c r="R9" s="11">
        <f t="shared" si="2"/>
        <v>359.5999999999998</v>
      </c>
    </row>
    <row r="10" spans="2:18" x14ac:dyDescent="0.35">
      <c r="C10" s="12"/>
    </row>
    <row r="11" spans="2:18" x14ac:dyDescent="0.35">
      <c r="B11" s="16" t="s">
        <v>73</v>
      </c>
    </row>
    <row r="12" spans="2:18" x14ac:dyDescent="0.35">
      <c r="B12" t="s">
        <v>1</v>
      </c>
      <c r="C12">
        <v>2020</v>
      </c>
      <c r="D12">
        <v>2021</v>
      </c>
      <c r="E12">
        <v>2022</v>
      </c>
      <c r="F12">
        <v>2023</v>
      </c>
      <c r="G12">
        <v>2024</v>
      </c>
      <c r="H12">
        <v>2025</v>
      </c>
      <c r="I12">
        <v>2026</v>
      </c>
      <c r="J12">
        <v>2027</v>
      </c>
      <c r="K12">
        <v>2028</v>
      </c>
      <c r="L12">
        <v>2029</v>
      </c>
      <c r="M12">
        <v>2030</v>
      </c>
    </row>
    <row r="13" spans="2:18" x14ac:dyDescent="0.35">
      <c r="B13" t="s">
        <v>74</v>
      </c>
      <c r="C13" s="8">
        <f t="shared" ref="C13:M13" si="3">C7</f>
        <v>400</v>
      </c>
      <c r="D13" s="8">
        <f t="shared" si="3"/>
        <v>384</v>
      </c>
      <c r="E13" s="8">
        <f t="shared" si="3"/>
        <v>368</v>
      </c>
      <c r="F13" s="8">
        <f t="shared" si="3"/>
        <v>352</v>
      </c>
      <c r="G13" s="8">
        <f t="shared" si="3"/>
        <v>336</v>
      </c>
      <c r="H13" s="8">
        <f t="shared" si="3"/>
        <v>320</v>
      </c>
      <c r="I13" s="8">
        <f t="shared" si="3"/>
        <v>304</v>
      </c>
      <c r="J13" s="8">
        <f t="shared" si="3"/>
        <v>288</v>
      </c>
      <c r="K13" s="8">
        <f t="shared" si="3"/>
        <v>272</v>
      </c>
      <c r="L13" s="8">
        <f t="shared" si="3"/>
        <v>256</v>
      </c>
      <c r="M13" s="8">
        <f t="shared" si="3"/>
        <v>240</v>
      </c>
    </row>
    <row r="14" spans="2:18" x14ac:dyDescent="0.35">
      <c r="B14" t="s">
        <v>75</v>
      </c>
      <c r="E14" s="10">
        <f t="shared" ref="E14:M14" si="4">E27</f>
        <v>441.59999999999997</v>
      </c>
      <c r="F14" s="10">
        <f t="shared" si="4"/>
        <v>457.6</v>
      </c>
      <c r="G14" s="10">
        <f t="shared" si="4"/>
        <v>453.6</v>
      </c>
      <c r="H14" s="10">
        <f t="shared" si="4"/>
        <v>448</v>
      </c>
      <c r="I14" s="10">
        <f t="shared" si="4"/>
        <v>425.59999999999997</v>
      </c>
      <c r="J14" s="10">
        <f t="shared" si="4"/>
        <v>360</v>
      </c>
      <c r="K14" s="10">
        <f t="shared" si="4"/>
        <v>326.39999999999998</v>
      </c>
      <c r="L14" s="10">
        <f t="shared" si="4"/>
        <v>294.39999999999998</v>
      </c>
      <c r="M14" s="10">
        <f t="shared" si="4"/>
        <v>240</v>
      </c>
    </row>
    <row r="15" spans="2:18" x14ac:dyDescent="0.35">
      <c r="B15" t="s">
        <v>6</v>
      </c>
      <c r="E15" s="9">
        <f>E14-E13</f>
        <v>73.599999999999966</v>
      </c>
      <c r="F15" s="9">
        <f t="shared" ref="F15:M15" si="5">F14-F13</f>
        <v>105.60000000000002</v>
      </c>
      <c r="G15" s="9">
        <f t="shared" si="5"/>
        <v>117.60000000000002</v>
      </c>
      <c r="H15" s="9">
        <f t="shared" si="5"/>
        <v>128</v>
      </c>
      <c r="I15" s="9">
        <f t="shared" si="5"/>
        <v>121.59999999999997</v>
      </c>
      <c r="J15" s="9">
        <f t="shared" si="5"/>
        <v>72</v>
      </c>
      <c r="K15" s="9">
        <f t="shared" si="5"/>
        <v>54.399999999999977</v>
      </c>
      <c r="L15" s="9">
        <f t="shared" si="5"/>
        <v>38.399999999999977</v>
      </c>
      <c r="M15" s="9">
        <f t="shared" si="5"/>
        <v>0</v>
      </c>
    </row>
    <row r="16" spans="2:18" x14ac:dyDescent="0.35">
      <c r="B16" t="s">
        <v>11</v>
      </c>
      <c r="E16" s="13">
        <f>E15/E13</f>
        <v>0.1999999999999999</v>
      </c>
      <c r="F16" s="13">
        <f t="shared" ref="F16:M16" si="6">F15/F13</f>
        <v>0.30000000000000004</v>
      </c>
      <c r="G16" s="13">
        <f t="shared" si="6"/>
        <v>0.35000000000000009</v>
      </c>
      <c r="H16" s="13">
        <f t="shared" si="6"/>
        <v>0.4</v>
      </c>
      <c r="I16" s="13">
        <f t="shared" si="6"/>
        <v>0.39999999999999991</v>
      </c>
      <c r="J16" s="13">
        <f t="shared" si="6"/>
        <v>0.25</v>
      </c>
      <c r="K16" s="13">
        <f t="shared" si="6"/>
        <v>0.19999999999999993</v>
      </c>
      <c r="L16" s="13">
        <f t="shared" si="6"/>
        <v>0.14999999999999991</v>
      </c>
      <c r="M16" s="13">
        <f t="shared" si="6"/>
        <v>0</v>
      </c>
    </row>
    <row r="17" spans="2:18" x14ac:dyDescent="0.35">
      <c r="B17" t="s">
        <v>31</v>
      </c>
      <c r="E17">
        <f t="shared" ref="E17:M17" si="7">$C$22*$C$2</f>
        <v>1094.4000000000001</v>
      </c>
      <c r="F17">
        <f t="shared" si="7"/>
        <v>1094.4000000000001</v>
      </c>
      <c r="G17">
        <f t="shared" si="7"/>
        <v>1094.4000000000001</v>
      </c>
      <c r="H17">
        <f t="shared" si="7"/>
        <v>1094.4000000000001</v>
      </c>
      <c r="I17">
        <f t="shared" si="7"/>
        <v>1094.4000000000001</v>
      </c>
      <c r="J17">
        <f t="shared" si="7"/>
        <v>1094.4000000000001</v>
      </c>
      <c r="K17">
        <f t="shared" si="7"/>
        <v>1094.4000000000001</v>
      </c>
      <c r="L17">
        <f t="shared" si="7"/>
        <v>1094.4000000000001</v>
      </c>
      <c r="M17">
        <f t="shared" si="7"/>
        <v>1094.4000000000001</v>
      </c>
    </row>
    <row r="18" spans="2:18" x14ac:dyDescent="0.35">
      <c r="B18" t="s">
        <v>76</v>
      </c>
      <c r="E18" s="9">
        <f>$C$23-SUM($E15:E$15)</f>
        <v>610.40000000000009</v>
      </c>
      <c r="F18" s="9">
        <f>$C$23-SUM($E15:F$15)</f>
        <v>504.8</v>
      </c>
      <c r="G18" s="9">
        <f>$C$23-SUM($E15:G$15)</f>
        <v>387.2</v>
      </c>
      <c r="H18" s="9">
        <f>$C$23-SUM($E15:H$15)</f>
        <v>259.2</v>
      </c>
      <c r="I18" s="9">
        <f>$C$23-SUM($E15:I$15)</f>
        <v>137.60000000000002</v>
      </c>
      <c r="J18" s="9">
        <f>$C$23-SUM($E15:J$15)</f>
        <v>65.600000000000023</v>
      </c>
      <c r="K18" s="9">
        <f>$C$23-SUM($E15:K$15)</f>
        <v>11.200000000000045</v>
      </c>
      <c r="L18" s="9">
        <f>$C$23-SUM($E15:L$15)</f>
        <v>-27.199999999999932</v>
      </c>
      <c r="M18" s="9">
        <f>$C$23-SUM($E15:M$15)</f>
        <v>-27.199999999999932</v>
      </c>
    </row>
    <row r="19" spans="2:18" x14ac:dyDescent="0.35">
      <c r="B19" t="s">
        <v>77</v>
      </c>
      <c r="C19" s="24"/>
      <c r="D19" s="24"/>
      <c r="E19" s="24">
        <f>IF(E16&lt;=$C$2,1,0)</f>
        <v>1</v>
      </c>
      <c r="F19" s="24">
        <f t="shared" ref="F19:L19" si="8">IF(F16&lt;=$C$2,1,0)</f>
        <v>1</v>
      </c>
      <c r="G19" s="24">
        <f t="shared" si="8"/>
        <v>1</v>
      </c>
      <c r="H19" s="24">
        <f t="shared" si="8"/>
        <v>1</v>
      </c>
      <c r="I19" s="24">
        <f t="shared" si="8"/>
        <v>1</v>
      </c>
      <c r="J19" s="24">
        <f t="shared" si="8"/>
        <v>1</v>
      </c>
      <c r="K19" s="24">
        <f t="shared" si="8"/>
        <v>1</v>
      </c>
      <c r="L19" s="24">
        <f t="shared" si="8"/>
        <v>1</v>
      </c>
      <c r="M19" s="24" t="s">
        <v>78</v>
      </c>
    </row>
    <row r="20" spans="2:18" x14ac:dyDescent="0.35">
      <c r="B20" t="s">
        <v>79</v>
      </c>
      <c r="C20" s="24"/>
      <c r="D20" s="24"/>
      <c r="E20" s="24">
        <f>IF(E18&gt;=0,1,0)</f>
        <v>1</v>
      </c>
      <c r="F20" s="24">
        <f t="shared" ref="F20:L20" si="9">IF(F18&gt;=0,1,0)</f>
        <v>1</v>
      </c>
      <c r="G20" s="24">
        <f t="shared" si="9"/>
        <v>1</v>
      </c>
      <c r="H20" s="24">
        <f t="shared" si="9"/>
        <v>1</v>
      </c>
      <c r="I20" s="24">
        <f t="shared" si="9"/>
        <v>1</v>
      </c>
      <c r="J20" s="24">
        <f t="shared" si="9"/>
        <v>1</v>
      </c>
      <c r="K20" s="24">
        <f t="shared" si="9"/>
        <v>1</v>
      </c>
      <c r="L20" s="24">
        <f t="shared" si="9"/>
        <v>0</v>
      </c>
      <c r="M20" s="24" t="s">
        <v>78</v>
      </c>
    </row>
    <row r="22" spans="2:18" x14ac:dyDescent="0.35">
      <c r="B22" t="s">
        <v>80</v>
      </c>
      <c r="C22" s="10">
        <f>SUM(E13:M13)</f>
        <v>2736</v>
      </c>
    </row>
    <row r="23" spans="2:18" x14ac:dyDescent="0.35">
      <c r="B23" t="s">
        <v>66</v>
      </c>
      <c r="C23" s="9">
        <f>C22*$C$3</f>
        <v>684</v>
      </c>
    </row>
    <row r="25" spans="2:18" x14ac:dyDescent="0.35">
      <c r="B25" t="s">
        <v>81</v>
      </c>
    </row>
    <row r="26" spans="2:18" x14ac:dyDescent="0.35">
      <c r="B26" t="s">
        <v>1</v>
      </c>
      <c r="E26" s="10">
        <v>2022</v>
      </c>
      <c r="F26" s="10">
        <f>E26+1</f>
        <v>2023</v>
      </c>
      <c r="G26" s="10">
        <f t="shared" ref="G26:L26" si="10">F26+1</f>
        <v>2024</v>
      </c>
      <c r="H26" s="10">
        <f t="shared" si="10"/>
        <v>2025</v>
      </c>
      <c r="I26" s="10">
        <f t="shared" si="10"/>
        <v>2026</v>
      </c>
      <c r="J26" s="10">
        <f t="shared" si="10"/>
        <v>2027</v>
      </c>
      <c r="K26" s="10">
        <f t="shared" si="10"/>
        <v>2028</v>
      </c>
      <c r="L26" s="10">
        <f t="shared" si="10"/>
        <v>2029</v>
      </c>
      <c r="M26">
        <v>2030</v>
      </c>
    </row>
    <row r="27" spans="2:18" x14ac:dyDescent="0.35">
      <c r="B27" s="21" t="s">
        <v>82</v>
      </c>
      <c r="C27" s="21"/>
      <c r="D27" s="21"/>
      <c r="E27" s="25">
        <f t="shared" ref="E27:M27" si="11">E$13*(1+E28)</f>
        <v>441.59999999999997</v>
      </c>
      <c r="F27" s="25">
        <f t="shared" si="11"/>
        <v>457.6</v>
      </c>
      <c r="G27" s="25">
        <f t="shared" si="11"/>
        <v>453.6</v>
      </c>
      <c r="H27" s="25">
        <f t="shared" si="11"/>
        <v>448</v>
      </c>
      <c r="I27" s="25">
        <f t="shared" si="11"/>
        <v>425.59999999999997</v>
      </c>
      <c r="J27" s="25">
        <f t="shared" si="11"/>
        <v>360</v>
      </c>
      <c r="K27" s="25">
        <f t="shared" si="11"/>
        <v>326.39999999999998</v>
      </c>
      <c r="L27" s="25">
        <f t="shared" si="11"/>
        <v>294.39999999999998</v>
      </c>
      <c r="M27" s="25">
        <f t="shared" si="11"/>
        <v>240</v>
      </c>
    </row>
    <row r="28" spans="2:18" x14ac:dyDescent="0.35">
      <c r="E28" s="9">
        <v>0.2</v>
      </c>
      <c r="F28" s="9">
        <v>0.3</v>
      </c>
      <c r="G28" s="9">
        <v>0.35</v>
      </c>
      <c r="H28" s="9">
        <v>0.4</v>
      </c>
      <c r="I28" s="9">
        <v>0.4</v>
      </c>
      <c r="J28" s="9">
        <v>0.25</v>
      </c>
      <c r="K28" s="9">
        <v>0.2</v>
      </c>
      <c r="L28" s="9">
        <v>0.15</v>
      </c>
      <c r="M28" s="9">
        <v>0</v>
      </c>
    </row>
    <row r="30" spans="2:18" x14ac:dyDescent="0.35">
      <c r="B30" s="16" t="s">
        <v>83</v>
      </c>
    </row>
    <row r="31" spans="2:18" x14ac:dyDescent="0.35">
      <c r="B31" t="s">
        <v>1</v>
      </c>
      <c r="C31">
        <v>2020</v>
      </c>
      <c r="D31">
        <v>2021</v>
      </c>
      <c r="E31">
        <v>2022</v>
      </c>
      <c r="F31">
        <v>2023</v>
      </c>
      <c r="G31">
        <v>2024</v>
      </c>
      <c r="H31">
        <v>2025</v>
      </c>
      <c r="I31">
        <v>2026</v>
      </c>
      <c r="J31">
        <v>2027</v>
      </c>
      <c r="K31">
        <v>2028</v>
      </c>
      <c r="L31">
        <v>2029</v>
      </c>
      <c r="M31">
        <v>2030</v>
      </c>
      <c r="N31">
        <v>2031</v>
      </c>
      <c r="O31">
        <v>2032</v>
      </c>
      <c r="P31">
        <v>2033</v>
      </c>
      <c r="Q31">
        <v>2034</v>
      </c>
      <c r="R31">
        <v>2035</v>
      </c>
    </row>
    <row r="32" spans="2:18" x14ac:dyDescent="0.35">
      <c r="B32" t="s">
        <v>74</v>
      </c>
      <c r="C32" s="11">
        <f t="shared" ref="C32:M32" si="12">C9</f>
        <v>400</v>
      </c>
      <c r="D32" s="11">
        <f t="shared" si="12"/>
        <v>402.64</v>
      </c>
      <c r="E32" s="11">
        <f t="shared" si="12"/>
        <v>405.28</v>
      </c>
      <c r="F32" s="11">
        <f t="shared" si="12"/>
        <v>407.91999999999996</v>
      </c>
      <c r="G32" s="11">
        <f t="shared" si="12"/>
        <v>410.55999999999995</v>
      </c>
      <c r="H32" s="11">
        <f t="shared" si="12"/>
        <v>413.19999999999993</v>
      </c>
      <c r="I32" s="11">
        <f t="shared" si="12"/>
        <v>415.83999999999992</v>
      </c>
      <c r="J32" s="11">
        <f t="shared" si="12"/>
        <v>418.4799999999999</v>
      </c>
      <c r="K32" s="11">
        <f t="shared" si="12"/>
        <v>421.11999999999989</v>
      </c>
      <c r="L32" s="11">
        <f t="shared" si="12"/>
        <v>423.75999999999988</v>
      </c>
      <c r="M32" s="11">
        <f t="shared" si="12"/>
        <v>426.39999999999986</v>
      </c>
      <c r="N32" s="11">
        <f t="shared" ref="N32:R32" si="13">N9</f>
        <v>413.03999999999985</v>
      </c>
      <c r="O32" s="11">
        <f t="shared" si="13"/>
        <v>399.67999999999984</v>
      </c>
      <c r="P32" s="11">
        <f t="shared" si="13"/>
        <v>386.31999999999982</v>
      </c>
      <c r="Q32" s="11">
        <f t="shared" si="13"/>
        <v>372.95999999999981</v>
      </c>
      <c r="R32" s="11">
        <f t="shared" si="13"/>
        <v>359.5999999999998</v>
      </c>
    </row>
    <row r="33" spans="2:18" x14ac:dyDescent="0.35">
      <c r="B33" t="s">
        <v>75</v>
      </c>
      <c r="C33" s="10"/>
      <c r="D33" s="10"/>
      <c r="E33" s="10">
        <f t="shared" ref="E33:R33" si="14">E46</f>
        <v>486.33599999999996</v>
      </c>
      <c r="F33" s="10">
        <f t="shared" si="14"/>
        <v>530.29599999999994</v>
      </c>
      <c r="G33" s="10">
        <f t="shared" si="14"/>
        <v>554.25599999999997</v>
      </c>
      <c r="H33" s="10">
        <f t="shared" si="14"/>
        <v>578.4799999999999</v>
      </c>
      <c r="I33" s="10">
        <f t="shared" si="14"/>
        <v>582.17599999999982</v>
      </c>
      <c r="J33" s="10">
        <f t="shared" si="14"/>
        <v>523.09999999999991</v>
      </c>
      <c r="K33" s="10">
        <f t="shared" si="14"/>
        <v>505.34399999999982</v>
      </c>
      <c r="L33" s="10">
        <f t="shared" si="14"/>
        <v>487.32399999999984</v>
      </c>
      <c r="M33" s="10">
        <f t="shared" si="14"/>
        <v>490.35999999999979</v>
      </c>
      <c r="N33" s="10">
        <f t="shared" si="14"/>
        <v>474.99599999999981</v>
      </c>
      <c r="O33" s="10">
        <f t="shared" si="14"/>
        <v>439.64799999999985</v>
      </c>
      <c r="P33" s="10">
        <f t="shared" si="14"/>
        <v>424.95199999999983</v>
      </c>
      <c r="Q33" s="10">
        <f t="shared" si="14"/>
        <v>391.60799999999983</v>
      </c>
      <c r="R33" s="10">
        <f t="shared" si="14"/>
        <v>359.5999999999998</v>
      </c>
    </row>
    <row r="34" spans="2:18" x14ac:dyDescent="0.35">
      <c r="B34" t="s">
        <v>6</v>
      </c>
      <c r="E34" s="9">
        <f t="shared" ref="E34:M34" si="15">E33-E32</f>
        <v>81.055999999999983</v>
      </c>
      <c r="F34" s="9">
        <f t="shared" si="15"/>
        <v>122.37599999999998</v>
      </c>
      <c r="G34" s="9">
        <f t="shared" si="15"/>
        <v>143.69600000000003</v>
      </c>
      <c r="H34" s="9">
        <f t="shared" si="15"/>
        <v>165.27999999999997</v>
      </c>
      <c r="I34" s="9">
        <f t="shared" si="15"/>
        <v>166.3359999999999</v>
      </c>
      <c r="J34" s="9">
        <f t="shared" si="15"/>
        <v>104.62</v>
      </c>
      <c r="K34" s="9">
        <f t="shared" si="15"/>
        <v>84.223999999999933</v>
      </c>
      <c r="L34" s="9">
        <f t="shared" si="15"/>
        <v>63.563999999999965</v>
      </c>
      <c r="M34" s="9">
        <f t="shared" si="15"/>
        <v>63.959999999999923</v>
      </c>
      <c r="N34" s="9">
        <f t="shared" ref="N34:R34" si="16">N33-N32</f>
        <v>61.95599999999996</v>
      </c>
      <c r="O34" s="9">
        <f t="shared" si="16"/>
        <v>39.968000000000018</v>
      </c>
      <c r="P34" s="9">
        <f t="shared" si="16"/>
        <v>38.632000000000005</v>
      </c>
      <c r="Q34" s="9">
        <f t="shared" si="16"/>
        <v>18.648000000000025</v>
      </c>
      <c r="R34" s="9">
        <f t="shared" si="16"/>
        <v>0</v>
      </c>
    </row>
    <row r="35" spans="2:18" x14ac:dyDescent="0.35">
      <c r="B35" t="s">
        <v>11</v>
      </c>
      <c r="E35" s="13">
        <f t="shared" ref="E35:M35" si="17">E34/E32</f>
        <v>0.19999999999999998</v>
      </c>
      <c r="F35" s="13">
        <f t="shared" si="17"/>
        <v>0.3</v>
      </c>
      <c r="G35" s="13">
        <f t="shared" si="17"/>
        <v>0.35000000000000009</v>
      </c>
      <c r="H35" s="13">
        <f t="shared" si="17"/>
        <v>0.4</v>
      </c>
      <c r="I35" s="13">
        <f t="shared" si="17"/>
        <v>0.39999999999999986</v>
      </c>
      <c r="J35" s="13">
        <f t="shared" si="17"/>
        <v>0.25000000000000006</v>
      </c>
      <c r="K35" s="13">
        <f t="shared" si="17"/>
        <v>0.1999999999999999</v>
      </c>
      <c r="L35" s="13">
        <f t="shared" si="17"/>
        <v>0.14999999999999997</v>
      </c>
      <c r="M35" s="13">
        <f t="shared" si="17"/>
        <v>0.14999999999999986</v>
      </c>
      <c r="N35" s="13">
        <f t="shared" ref="N35:R35" si="18">N34/N32</f>
        <v>0.14999999999999997</v>
      </c>
      <c r="O35" s="13">
        <f t="shared" si="18"/>
        <v>0.10000000000000009</v>
      </c>
      <c r="P35" s="13">
        <f t="shared" si="18"/>
        <v>0.10000000000000006</v>
      </c>
      <c r="Q35" s="13">
        <f t="shared" si="18"/>
        <v>5.0000000000000093E-2</v>
      </c>
      <c r="R35" s="13">
        <f t="shared" si="18"/>
        <v>0</v>
      </c>
    </row>
    <row r="36" spans="2:18" x14ac:dyDescent="0.35">
      <c r="B36" t="s">
        <v>31</v>
      </c>
      <c r="E36" s="9">
        <f t="shared" ref="E36:M36" si="19">$C$41*$C$2</f>
        <v>2269.6639999999993</v>
      </c>
      <c r="F36" s="9">
        <f t="shared" si="19"/>
        <v>2269.6639999999993</v>
      </c>
      <c r="G36" s="9">
        <f t="shared" si="19"/>
        <v>2269.6639999999993</v>
      </c>
      <c r="H36" s="9">
        <f t="shared" si="19"/>
        <v>2269.6639999999993</v>
      </c>
      <c r="I36" s="9">
        <f t="shared" si="19"/>
        <v>2269.6639999999993</v>
      </c>
      <c r="J36" s="9">
        <f t="shared" si="19"/>
        <v>2269.6639999999993</v>
      </c>
      <c r="K36" s="9">
        <f t="shared" si="19"/>
        <v>2269.6639999999993</v>
      </c>
      <c r="L36" s="9">
        <f t="shared" si="19"/>
        <v>2269.6639999999993</v>
      </c>
      <c r="M36" s="9">
        <f t="shared" si="19"/>
        <v>2269.6639999999993</v>
      </c>
      <c r="N36" s="9">
        <f t="shared" ref="N36:R36" si="20">$C$41*$C$2</f>
        <v>2269.6639999999993</v>
      </c>
      <c r="O36" s="9">
        <f t="shared" si="20"/>
        <v>2269.6639999999993</v>
      </c>
      <c r="P36" s="9">
        <f t="shared" si="20"/>
        <v>2269.6639999999993</v>
      </c>
      <c r="Q36" s="9">
        <f t="shared" si="20"/>
        <v>2269.6639999999993</v>
      </c>
      <c r="R36" s="9">
        <f t="shared" si="20"/>
        <v>2269.6639999999993</v>
      </c>
    </row>
    <row r="37" spans="2:18" x14ac:dyDescent="0.35">
      <c r="B37" t="s">
        <v>76</v>
      </c>
      <c r="E37" s="9">
        <f>$C$42-SUM($E$34:E34)</f>
        <v>1337.4839999999995</v>
      </c>
      <c r="F37" s="9">
        <f>$C$42-SUM($E$34:F34)</f>
        <v>1215.1079999999995</v>
      </c>
      <c r="G37" s="9">
        <f>$C$42-SUM($E$34:G34)</f>
        <v>1071.4119999999996</v>
      </c>
      <c r="H37" s="9">
        <f>$C$42-SUM($E$34:H34)</f>
        <v>906.13199999999961</v>
      </c>
      <c r="I37" s="9">
        <f>$C$42-SUM($E$34:I34)</f>
        <v>739.79599999999971</v>
      </c>
      <c r="J37" s="9">
        <f>$C$42-SUM($E$34:J34)</f>
        <v>635.1759999999997</v>
      </c>
      <c r="K37" s="9">
        <f>$C$42-SUM($E$34:K34)</f>
        <v>550.95199999999977</v>
      </c>
      <c r="L37" s="9">
        <f>$C$42-SUM($E$34:L34)</f>
        <v>487.38799999999981</v>
      </c>
      <c r="M37" s="9">
        <f>$C$42-SUM($E$34:M34)</f>
        <v>423.42799999999988</v>
      </c>
      <c r="N37" s="9">
        <f>$C$42-SUM($E$34:N34)</f>
        <v>361.47199999999998</v>
      </c>
      <c r="O37" s="9">
        <f>$C$42-SUM($E$34:O34)</f>
        <v>321.50399999999991</v>
      </c>
      <c r="P37" s="9">
        <f>$C$42-SUM($E$34:P34)</f>
        <v>282.87199999999984</v>
      </c>
      <c r="Q37" s="9">
        <f>$C$42-SUM($E$34:Q34)</f>
        <v>264.22399999999971</v>
      </c>
      <c r="R37" s="9">
        <f>$C$42-SUM($E$34:R34)</f>
        <v>264.22399999999971</v>
      </c>
    </row>
    <row r="38" spans="2:18" x14ac:dyDescent="0.35">
      <c r="B38" t="s">
        <v>77</v>
      </c>
      <c r="C38" s="24"/>
      <c r="D38" s="24"/>
      <c r="E38" s="24">
        <f>IF(E35&lt;=$C$2,1,0)</f>
        <v>1</v>
      </c>
      <c r="F38" s="24">
        <f t="shared" ref="F38:L38" si="21">IF(F35&lt;=$C$2,1,0)</f>
        <v>1</v>
      </c>
      <c r="G38" s="24">
        <f t="shared" si="21"/>
        <v>1</v>
      </c>
      <c r="H38" s="24">
        <f t="shared" si="21"/>
        <v>1</v>
      </c>
      <c r="I38" s="24">
        <f t="shared" si="21"/>
        <v>1</v>
      </c>
      <c r="J38" s="24">
        <f t="shared" si="21"/>
        <v>1</v>
      </c>
      <c r="K38" s="24">
        <f t="shared" si="21"/>
        <v>1</v>
      </c>
      <c r="L38" s="24">
        <f t="shared" si="21"/>
        <v>1</v>
      </c>
      <c r="M38" s="24">
        <f t="shared" ref="M38:Q38" si="22">IF(M35&lt;=$C$2,1,0)</f>
        <v>1</v>
      </c>
      <c r="N38" s="24">
        <f t="shared" si="22"/>
        <v>1</v>
      </c>
      <c r="O38" s="24">
        <f t="shared" si="22"/>
        <v>1</v>
      </c>
      <c r="P38" s="24">
        <f t="shared" si="22"/>
        <v>1</v>
      </c>
      <c r="Q38" s="24">
        <f t="shared" si="22"/>
        <v>1</v>
      </c>
      <c r="R38" s="24" t="s">
        <v>78</v>
      </c>
    </row>
    <row r="39" spans="2:18" x14ac:dyDescent="0.35">
      <c r="B39" t="s">
        <v>79</v>
      </c>
      <c r="C39" s="24"/>
      <c r="D39" s="24"/>
      <c r="E39" s="24">
        <f>IF(E37&gt;=0,1,0)</f>
        <v>1</v>
      </c>
      <c r="F39" s="24">
        <f t="shared" ref="F39:L39" si="23">IF(F37&gt;=0,1,0)</f>
        <v>1</v>
      </c>
      <c r="G39" s="24">
        <f t="shared" si="23"/>
        <v>1</v>
      </c>
      <c r="H39" s="24">
        <f t="shared" si="23"/>
        <v>1</v>
      </c>
      <c r="I39" s="24">
        <f t="shared" si="23"/>
        <v>1</v>
      </c>
      <c r="J39" s="24">
        <f t="shared" si="23"/>
        <v>1</v>
      </c>
      <c r="K39" s="24">
        <f t="shared" si="23"/>
        <v>1</v>
      </c>
      <c r="L39" s="24">
        <f t="shared" si="23"/>
        <v>1</v>
      </c>
      <c r="M39" s="24">
        <f t="shared" ref="M39:Q39" si="24">IF(M37&gt;=0,1,0)</f>
        <v>1</v>
      </c>
      <c r="N39" s="24">
        <f t="shared" si="24"/>
        <v>1</v>
      </c>
      <c r="O39" s="24">
        <f t="shared" si="24"/>
        <v>1</v>
      </c>
      <c r="P39" s="24">
        <f t="shared" si="24"/>
        <v>1</v>
      </c>
      <c r="Q39" s="24">
        <f t="shared" si="24"/>
        <v>1</v>
      </c>
      <c r="R39" s="24" t="s">
        <v>78</v>
      </c>
    </row>
    <row r="41" spans="2:18" x14ac:dyDescent="0.35">
      <c r="B41" t="s">
        <v>80</v>
      </c>
      <c r="C41" s="10">
        <f>SUM(E32:R32)</f>
        <v>5674.159999999998</v>
      </c>
    </row>
    <row r="42" spans="2:18" x14ac:dyDescent="0.35">
      <c r="B42" t="s">
        <v>66</v>
      </c>
      <c r="C42" s="9">
        <f>C41*$C$3</f>
        <v>1418.5399999999995</v>
      </c>
    </row>
    <row r="44" spans="2:18" x14ac:dyDescent="0.35">
      <c r="B44" t="s">
        <v>81</v>
      </c>
    </row>
    <row r="45" spans="2:18" x14ac:dyDescent="0.35">
      <c r="B45" t="s">
        <v>1</v>
      </c>
      <c r="E45" s="10">
        <v>2022</v>
      </c>
      <c r="F45" s="10">
        <f>E45+1</f>
        <v>2023</v>
      </c>
      <c r="G45" s="10">
        <f t="shared" ref="G45:L45" si="25">F45+1</f>
        <v>2024</v>
      </c>
      <c r="H45" s="10">
        <f t="shared" si="25"/>
        <v>2025</v>
      </c>
      <c r="I45" s="10">
        <f t="shared" si="25"/>
        <v>2026</v>
      </c>
      <c r="J45" s="10">
        <f t="shared" si="25"/>
        <v>2027</v>
      </c>
      <c r="K45" s="10">
        <f t="shared" si="25"/>
        <v>2028</v>
      </c>
      <c r="L45" s="10">
        <f t="shared" si="25"/>
        <v>2029</v>
      </c>
      <c r="M45">
        <v>2030</v>
      </c>
      <c r="N45" s="10">
        <f t="shared" ref="N45" si="26">M45+1</f>
        <v>2031</v>
      </c>
      <c r="O45">
        <v>2032</v>
      </c>
      <c r="P45" s="10">
        <f t="shared" ref="P45" si="27">O45+1</f>
        <v>2033</v>
      </c>
      <c r="Q45">
        <v>2034</v>
      </c>
      <c r="R45" s="10">
        <f t="shared" ref="R45" si="28">Q45+1</f>
        <v>2035</v>
      </c>
    </row>
    <row r="46" spans="2:18" x14ac:dyDescent="0.35">
      <c r="B46" s="21" t="s">
        <v>82</v>
      </c>
      <c r="C46" s="21"/>
      <c r="D46" s="21"/>
      <c r="E46" s="23">
        <f t="shared" ref="E46:N46" si="29">E$9*(1+E47)</f>
        <v>486.33599999999996</v>
      </c>
      <c r="F46" s="23">
        <f t="shared" si="29"/>
        <v>530.29599999999994</v>
      </c>
      <c r="G46" s="23">
        <f t="shared" si="29"/>
        <v>554.25599999999997</v>
      </c>
      <c r="H46" s="23">
        <f t="shared" si="29"/>
        <v>578.4799999999999</v>
      </c>
      <c r="I46" s="23">
        <f t="shared" si="29"/>
        <v>582.17599999999982</v>
      </c>
      <c r="J46" s="23">
        <f t="shared" si="29"/>
        <v>523.09999999999991</v>
      </c>
      <c r="K46" s="23">
        <f t="shared" si="29"/>
        <v>505.34399999999982</v>
      </c>
      <c r="L46" s="23">
        <f t="shared" si="29"/>
        <v>487.32399999999984</v>
      </c>
      <c r="M46" s="23">
        <f t="shared" si="29"/>
        <v>490.35999999999979</v>
      </c>
      <c r="N46" s="23">
        <f t="shared" si="29"/>
        <v>474.99599999999981</v>
      </c>
      <c r="O46" s="23">
        <f t="shared" ref="O46:R46" si="30">O$9*(1+O47)</f>
        <v>439.64799999999985</v>
      </c>
      <c r="P46" s="23">
        <f t="shared" si="30"/>
        <v>424.95199999999983</v>
      </c>
      <c r="Q46" s="23">
        <f t="shared" si="30"/>
        <v>391.60799999999983</v>
      </c>
      <c r="R46" s="23">
        <f t="shared" si="30"/>
        <v>359.5999999999998</v>
      </c>
    </row>
    <row r="47" spans="2:18" x14ac:dyDescent="0.35">
      <c r="E47" s="9">
        <v>0.2</v>
      </c>
      <c r="F47" s="9">
        <v>0.3</v>
      </c>
      <c r="G47" s="9">
        <v>0.35</v>
      </c>
      <c r="H47" s="9">
        <v>0.4</v>
      </c>
      <c r="I47" s="9">
        <v>0.4</v>
      </c>
      <c r="J47" s="9">
        <v>0.25</v>
      </c>
      <c r="K47" s="9">
        <v>0.2</v>
      </c>
      <c r="L47" s="9">
        <v>0.15</v>
      </c>
      <c r="M47" s="9">
        <v>0.15</v>
      </c>
      <c r="N47" s="9">
        <v>0.15</v>
      </c>
      <c r="O47" s="9">
        <v>0.1</v>
      </c>
      <c r="P47" s="9">
        <v>0.1</v>
      </c>
      <c r="Q47" s="9">
        <v>0.05</v>
      </c>
      <c r="R47" s="9">
        <v>0</v>
      </c>
    </row>
    <row r="49" spans="2:18" x14ac:dyDescent="0.35">
      <c r="B49" s="16" t="s">
        <v>84</v>
      </c>
    </row>
    <row r="50" spans="2:18" x14ac:dyDescent="0.35">
      <c r="B50" t="s">
        <v>1</v>
      </c>
      <c r="C50">
        <v>2020</v>
      </c>
      <c r="D50">
        <v>2021</v>
      </c>
      <c r="E50">
        <v>2022</v>
      </c>
      <c r="F50">
        <v>2023</v>
      </c>
      <c r="G50">
        <v>2024</v>
      </c>
      <c r="H50">
        <v>2025</v>
      </c>
      <c r="I50">
        <v>2026</v>
      </c>
      <c r="J50">
        <v>2027</v>
      </c>
      <c r="K50">
        <v>2028</v>
      </c>
      <c r="L50">
        <v>2029</v>
      </c>
      <c r="M50">
        <v>2030</v>
      </c>
    </row>
    <row r="51" spans="2:18" x14ac:dyDescent="0.35">
      <c r="B51" s="87" t="s">
        <v>85</v>
      </c>
      <c r="C51" s="87"/>
      <c r="D51" s="87"/>
      <c r="E51" s="87"/>
      <c r="F51" s="87"/>
      <c r="G51" s="87"/>
      <c r="H51" s="87"/>
      <c r="I51" s="87"/>
      <c r="J51" s="87"/>
      <c r="K51" s="87"/>
      <c r="L51" s="87"/>
      <c r="M51" s="87"/>
    </row>
    <row r="52" spans="2:18" x14ac:dyDescent="0.35">
      <c r="B52" t="s">
        <v>77</v>
      </c>
      <c r="C52" s="24"/>
      <c r="D52" s="24"/>
      <c r="E52" s="24">
        <f t="shared" ref="E52:M52" si="31">E19</f>
        <v>1</v>
      </c>
      <c r="F52" s="24">
        <f t="shared" si="31"/>
        <v>1</v>
      </c>
      <c r="G52" s="24">
        <f t="shared" si="31"/>
        <v>1</v>
      </c>
      <c r="H52" s="24">
        <f t="shared" si="31"/>
        <v>1</v>
      </c>
      <c r="I52" s="24">
        <f t="shared" si="31"/>
        <v>1</v>
      </c>
      <c r="J52" s="24">
        <f t="shared" si="31"/>
        <v>1</v>
      </c>
      <c r="K52" s="24">
        <f t="shared" si="31"/>
        <v>1</v>
      </c>
      <c r="L52" s="24">
        <f t="shared" si="31"/>
        <v>1</v>
      </c>
      <c r="M52" s="24" t="str">
        <f t="shared" si="31"/>
        <v>-</v>
      </c>
    </row>
    <row r="53" spans="2:18" x14ac:dyDescent="0.35">
      <c r="B53" t="s">
        <v>79</v>
      </c>
      <c r="C53" s="24"/>
      <c r="D53" s="24"/>
      <c r="E53" s="24">
        <f t="shared" ref="E53:M53" si="32">E20</f>
        <v>1</v>
      </c>
      <c r="F53" s="24">
        <f t="shared" si="32"/>
        <v>1</v>
      </c>
      <c r="G53" s="24">
        <f t="shared" si="32"/>
        <v>1</v>
      </c>
      <c r="H53" s="24">
        <f t="shared" si="32"/>
        <v>1</v>
      </c>
      <c r="I53" s="24">
        <f t="shared" si="32"/>
        <v>1</v>
      </c>
      <c r="J53" s="24">
        <f t="shared" si="32"/>
        <v>1</v>
      </c>
      <c r="K53" s="24">
        <f t="shared" si="32"/>
        <v>1</v>
      </c>
      <c r="L53" s="24">
        <f t="shared" si="32"/>
        <v>0</v>
      </c>
      <c r="M53" s="24" t="str">
        <f t="shared" si="32"/>
        <v>-</v>
      </c>
    </row>
    <row r="54" spans="2:18" x14ac:dyDescent="0.35">
      <c r="B54" s="87" t="s">
        <v>86</v>
      </c>
      <c r="C54" s="87"/>
      <c r="D54" s="87"/>
      <c r="E54" s="87"/>
      <c r="F54" s="87"/>
      <c r="G54" s="87"/>
      <c r="H54" s="87"/>
      <c r="I54" s="87"/>
      <c r="J54" s="87"/>
      <c r="K54" s="87"/>
      <c r="L54" s="87"/>
      <c r="M54" s="87"/>
    </row>
    <row r="55" spans="2:18" x14ac:dyDescent="0.35">
      <c r="B55" t="s">
        <v>77</v>
      </c>
      <c r="E55" s="24">
        <f>E38</f>
        <v>1</v>
      </c>
      <c r="F55" s="24">
        <f t="shared" ref="F55:L56" si="33">F38</f>
        <v>1</v>
      </c>
      <c r="G55" s="24">
        <f t="shared" si="33"/>
        <v>1</v>
      </c>
      <c r="H55" s="24">
        <f t="shared" si="33"/>
        <v>1</v>
      </c>
      <c r="I55" s="24">
        <f t="shared" si="33"/>
        <v>1</v>
      </c>
      <c r="J55" s="24">
        <f t="shared" si="33"/>
        <v>1</v>
      </c>
      <c r="K55" s="24">
        <f t="shared" si="33"/>
        <v>1</v>
      </c>
      <c r="L55" s="24">
        <f t="shared" si="33"/>
        <v>1</v>
      </c>
      <c r="M55" s="24" t="s">
        <v>78</v>
      </c>
      <c r="N55" s="24"/>
      <c r="O55" s="24"/>
      <c r="P55" s="24"/>
      <c r="Q55" s="24"/>
      <c r="R55" s="24"/>
    </row>
    <row r="56" spans="2:18" x14ac:dyDescent="0.35">
      <c r="B56" t="s">
        <v>79</v>
      </c>
      <c r="E56" s="24">
        <f>E39</f>
        <v>1</v>
      </c>
      <c r="F56" s="24">
        <f t="shared" si="33"/>
        <v>1</v>
      </c>
      <c r="G56" s="24">
        <f t="shared" si="33"/>
        <v>1</v>
      </c>
      <c r="H56" s="24">
        <f t="shared" si="33"/>
        <v>1</v>
      </c>
      <c r="I56" s="24">
        <f t="shared" si="33"/>
        <v>1</v>
      </c>
      <c r="J56" s="24">
        <f t="shared" si="33"/>
        <v>1</v>
      </c>
      <c r="K56" s="24">
        <f t="shared" si="33"/>
        <v>1</v>
      </c>
      <c r="L56" s="24">
        <f t="shared" si="33"/>
        <v>1</v>
      </c>
      <c r="M56" s="24" t="s">
        <v>78</v>
      </c>
      <c r="N56" s="24"/>
      <c r="O56" s="24"/>
      <c r="P56" s="24"/>
      <c r="Q56" s="24"/>
      <c r="R56" s="24"/>
    </row>
    <row r="57" spans="2:18" x14ac:dyDescent="0.35">
      <c r="B57" s="87" t="s">
        <v>87</v>
      </c>
      <c r="C57" s="87"/>
      <c r="D57" s="87"/>
      <c r="E57" s="87"/>
      <c r="F57" s="87"/>
      <c r="G57" s="87"/>
      <c r="H57" s="87"/>
      <c r="I57" s="87"/>
      <c r="J57" s="87"/>
      <c r="K57" s="87"/>
      <c r="L57" s="87"/>
      <c r="M57" s="87"/>
    </row>
    <row r="58" spans="2:18" x14ac:dyDescent="0.35">
      <c r="B58" t="s">
        <v>88</v>
      </c>
      <c r="C58" s="24"/>
      <c r="D58" s="24"/>
      <c r="E58" s="24">
        <f>IF(AND(E52=1,E53=1,E55=1,E56=1),1,0)</f>
        <v>1</v>
      </c>
      <c r="F58" s="24">
        <f t="shared" ref="F58:L58" si="34">IF(AND(F52=1,F53=1,F55=1,F56=1),1,0)</f>
        <v>1</v>
      </c>
      <c r="G58" s="24">
        <f t="shared" si="34"/>
        <v>1</v>
      </c>
      <c r="H58" s="24">
        <f t="shared" si="34"/>
        <v>1</v>
      </c>
      <c r="I58" s="24">
        <f t="shared" si="34"/>
        <v>1</v>
      </c>
      <c r="J58" s="24">
        <f t="shared" si="34"/>
        <v>1</v>
      </c>
      <c r="K58" s="24">
        <f t="shared" si="34"/>
        <v>1</v>
      </c>
      <c r="L58" s="24">
        <f t="shared" si="34"/>
        <v>0</v>
      </c>
      <c r="M58" s="24" t="s">
        <v>78</v>
      </c>
      <c r="N58" s="24"/>
      <c r="O58" s="24"/>
      <c r="P58" s="24"/>
      <c r="Q58" s="24"/>
      <c r="R58" s="24"/>
    </row>
  </sheetData>
  <mergeCells count="3">
    <mergeCell ref="B51:M51"/>
    <mergeCell ref="B54:M54"/>
    <mergeCell ref="B57:M57"/>
  </mergeCells>
  <conditionalFormatting sqref="C19:M20">
    <cfRule type="iconSet" priority="4">
      <iconSet iconSet="3Symbols2" showValue="0">
        <cfvo type="percent" val="0"/>
        <cfvo type="num" val="0" gte="0"/>
        <cfvo type="num" val="0" gte="0"/>
      </iconSet>
    </cfRule>
  </conditionalFormatting>
  <conditionalFormatting sqref="C52:M53">
    <cfRule type="iconSet" priority="2">
      <iconSet iconSet="3Symbols2" showValue="0">
        <cfvo type="percent" val="0"/>
        <cfvo type="num" val="0" gte="0"/>
        <cfvo type="num" val="0" gte="0"/>
      </iconSet>
    </cfRule>
  </conditionalFormatting>
  <conditionalFormatting sqref="C38:R39">
    <cfRule type="iconSet" priority="3">
      <iconSet iconSet="3Symbols2" showValue="0">
        <cfvo type="percent" val="0"/>
        <cfvo type="num" val="0" gte="0"/>
        <cfvo type="num" val="0" gte="0"/>
      </iconSet>
    </cfRule>
  </conditionalFormatting>
  <conditionalFormatting sqref="C58:R58">
    <cfRule type="iconSet" priority="6">
      <iconSet iconSet="3Symbols2" showValue="0">
        <cfvo type="percent" val="0"/>
        <cfvo type="num" val="0" gte="0"/>
        <cfvo type="num" val="0" gte="0"/>
      </iconSet>
    </cfRule>
  </conditionalFormatting>
  <conditionalFormatting sqref="E55:R56">
    <cfRule type="iconSet" priority="1">
      <iconSet iconSet="3Symbols2" showValue="0">
        <cfvo type="percent" val="0"/>
        <cfvo type="num" val="0" gte="0"/>
        <cfvo type="num" val="0" gte="0"/>
      </iconSet>
    </cfRule>
  </conditionalFormatting>
  <pageMargins left="0.7" right="0.7" top="0.75" bottom="0.75" header="0.3" footer="0.3"/>
  <legacyDrawing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B749D82-0212-4F52-9768-ACC895F90BB2}">
  <dimension ref="B1:AF65"/>
  <sheetViews>
    <sheetView zoomScale="90" zoomScaleNormal="90" workbookViewId="0">
      <selection activeCell="G1" sqref="G1:G4"/>
    </sheetView>
  </sheetViews>
  <sheetFormatPr defaultRowHeight="14.5" x14ac:dyDescent="0.35"/>
  <cols>
    <col min="2" max="2" width="33.26953125" customWidth="1"/>
    <col min="4" max="4" width="9.7265625" customWidth="1"/>
    <col min="19" max="19" width="8.81640625" bestFit="1" customWidth="1"/>
    <col min="20" max="20" width="10.26953125" customWidth="1"/>
    <col min="21" max="21" width="9.453125" bestFit="1" customWidth="1"/>
  </cols>
  <sheetData>
    <row r="1" spans="2:32" x14ac:dyDescent="0.35">
      <c r="B1" s="16" t="s">
        <v>27</v>
      </c>
      <c r="C1" t="s">
        <v>28</v>
      </c>
      <c r="G1" s="16" t="s">
        <v>23</v>
      </c>
    </row>
    <row r="2" spans="2:32" x14ac:dyDescent="0.35">
      <c r="B2" t="s">
        <v>31</v>
      </c>
      <c r="C2" s="12">
        <v>0.4</v>
      </c>
      <c r="D2" t="s">
        <v>64</v>
      </c>
      <c r="G2" t="s">
        <v>89</v>
      </c>
    </row>
    <row r="3" spans="2:32" x14ac:dyDescent="0.35">
      <c r="B3" t="s">
        <v>66</v>
      </c>
      <c r="C3" s="12">
        <v>0.25</v>
      </c>
      <c r="D3" t="s">
        <v>67</v>
      </c>
      <c r="G3" t="s">
        <v>90</v>
      </c>
    </row>
    <row r="4" spans="2:32" x14ac:dyDescent="0.35">
      <c r="C4" s="12"/>
      <c r="G4" t="s">
        <v>91</v>
      </c>
    </row>
    <row r="5" spans="2:32" x14ac:dyDescent="0.35">
      <c r="B5" s="16" t="s">
        <v>92</v>
      </c>
      <c r="C5" s="12"/>
    </row>
    <row r="6" spans="2:32" x14ac:dyDescent="0.35">
      <c r="B6" t="s">
        <v>92</v>
      </c>
      <c r="C6" s="12">
        <v>0.2</v>
      </c>
      <c r="D6" t="s">
        <v>93</v>
      </c>
    </row>
    <row r="8" spans="2:32" x14ac:dyDescent="0.35">
      <c r="B8" s="16" t="s">
        <v>15</v>
      </c>
    </row>
    <row r="9" spans="2:32" x14ac:dyDescent="0.35">
      <c r="B9" t="s">
        <v>1</v>
      </c>
      <c r="C9">
        <v>2020</v>
      </c>
      <c r="D9">
        <v>2021</v>
      </c>
      <c r="E9">
        <v>2022</v>
      </c>
      <c r="F9">
        <v>2023</v>
      </c>
      <c r="G9">
        <v>2024</v>
      </c>
      <c r="H9">
        <v>2025</v>
      </c>
      <c r="I9">
        <v>2026</v>
      </c>
      <c r="J9">
        <v>2027</v>
      </c>
      <c r="K9">
        <v>2028</v>
      </c>
      <c r="L9">
        <v>2029</v>
      </c>
      <c r="M9">
        <v>2030</v>
      </c>
      <c r="AF9" s="12"/>
    </row>
    <row r="10" spans="2:32" x14ac:dyDescent="0.35">
      <c r="B10" t="s">
        <v>94</v>
      </c>
      <c r="C10">
        <v>800</v>
      </c>
      <c r="D10">
        <f>C10-$C$10*0.025</f>
        <v>780</v>
      </c>
      <c r="E10">
        <f t="shared" ref="E10:M10" si="0">D10-$C$10*0.025</f>
        <v>760</v>
      </c>
      <c r="F10">
        <f t="shared" si="0"/>
        <v>740</v>
      </c>
      <c r="G10">
        <f t="shared" si="0"/>
        <v>720</v>
      </c>
      <c r="H10">
        <f t="shared" si="0"/>
        <v>700</v>
      </c>
      <c r="I10">
        <f t="shared" si="0"/>
        <v>680</v>
      </c>
      <c r="J10">
        <f t="shared" si="0"/>
        <v>660</v>
      </c>
      <c r="K10">
        <f t="shared" si="0"/>
        <v>640</v>
      </c>
      <c r="L10">
        <f t="shared" si="0"/>
        <v>620</v>
      </c>
      <c r="M10">
        <f t="shared" si="0"/>
        <v>600</v>
      </c>
      <c r="AF10" s="12"/>
    </row>
    <row r="11" spans="2:32" x14ac:dyDescent="0.35">
      <c r="B11" t="s">
        <v>95</v>
      </c>
      <c r="C11">
        <f>C10*(1+$C$6)</f>
        <v>960</v>
      </c>
      <c r="D11">
        <f t="shared" ref="D11:M11" si="1">D10*(1+$C$6)</f>
        <v>936</v>
      </c>
      <c r="E11">
        <f t="shared" si="1"/>
        <v>912</v>
      </c>
      <c r="F11">
        <f t="shared" si="1"/>
        <v>888</v>
      </c>
      <c r="G11">
        <f t="shared" si="1"/>
        <v>864</v>
      </c>
      <c r="H11">
        <f t="shared" si="1"/>
        <v>840</v>
      </c>
      <c r="I11">
        <f t="shared" si="1"/>
        <v>816</v>
      </c>
      <c r="J11">
        <f t="shared" si="1"/>
        <v>792</v>
      </c>
      <c r="K11">
        <f t="shared" si="1"/>
        <v>768</v>
      </c>
      <c r="L11">
        <f t="shared" si="1"/>
        <v>744</v>
      </c>
      <c r="M11">
        <f t="shared" si="1"/>
        <v>720</v>
      </c>
    </row>
    <row r="12" spans="2:32" x14ac:dyDescent="0.35">
      <c r="E12" s="10"/>
      <c r="F12" s="10"/>
      <c r="G12" s="10"/>
      <c r="H12" s="10"/>
      <c r="I12" s="10"/>
      <c r="J12" s="10"/>
      <c r="K12" s="10"/>
      <c r="L12" s="10"/>
      <c r="M12" s="10"/>
    </row>
    <row r="13" spans="2:32" x14ac:dyDescent="0.35">
      <c r="B13" s="16" t="s">
        <v>96</v>
      </c>
    </row>
    <row r="14" spans="2:32" x14ac:dyDescent="0.35">
      <c r="B14" t="s">
        <v>1</v>
      </c>
      <c r="C14">
        <v>2020</v>
      </c>
      <c r="D14">
        <v>2021</v>
      </c>
      <c r="E14" s="18">
        <v>2022</v>
      </c>
      <c r="F14" s="18">
        <v>2023</v>
      </c>
      <c r="G14" s="18">
        <v>2024</v>
      </c>
      <c r="H14" s="18">
        <v>2025</v>
      </c>
      <c r="I14">
        <v>2026</v>
      </c>
      <c r="J14">
        <v>2027</v>
      </c>
      <c r="K14">
        <v>2028</v>
      </c>
      <c r="L14">
        <v>2029</v>
      </c>
      <c r="M14">
        <v>2030</v>
      </c>
      <c r="O14" s="16" t="s">
        <v>97</v>
      </c>
    </row>
    <row r="15" spans="2:32" x14ac:dyDescent="0.35">
      <c r="B15" t="s">
        <v>74</v>
      </c>
      <c r="C15">
        <f t="shared" ref="C15:H15" si="2">C10</f>
        <v>800</v>
      </c>
      <c r="D15">
        <f t="shared" si="2"/>
        <v>780</v>
      </c>
      <c r="E15">
        <f t="shared" si="2"/>
        <v>760</v>
      </c>
      <c r="F15">
        <f t="shared" si="2"/>
        <v>740</v>
      </c>
      <c r="G15">
        <f t="shared" si="2"/>
        <v>720</v>
      </c>
      <c r="H15">
        <f t="shared" si="2"/>
        <v>700</v>
      </c>
      <c r="I15">
        <f t="shared" ref="I15:M15" si="3">I10</f>
        <v>680</v>
      </c>
      <c r="J15">
        <f t="shared" si="3"/>
        <v>660</v>
      </c>
      <c r="K15">
        <f t="shared" si="3"/>
        <v>640</v>
      </c>
      <c r="L15">
        <f t="shared" si="3"/>
        <v>620</v>
      </c>
      <c r="M15">
        <f t="shared" si="3"/>
        <v>600</v>
      </c>
      <c r="O15" t="s">
        <v>1</v>
      </c>
      <c r="P15">
        <v>2020</v>
      </c>
      <c r="Q15">
        <v>2021</v>
      </c>
      <c r="R15" s="18">
        <v>2022</v>
      </c>
      <c r="S15" s="18">
        <v>2023</v>
      </c>
      <c r="T15" s="18">
        <v>2024</v>
      </c>
      <c r="U15" s="18">
        <v>2025</v>
      </c>
      <c r="V15">
        <v>2026</v>
      </c>
      <c r="W15">
        <v>2027</v>
      </c>
      <c r="X15">
        <v>2028</v>
      </c>
      <c r="Y15">
        <v>2029</v>
      </c>
      <c r="Z15">
        <v>2030</v>
      </c>
    </row>
    <row r="16" spans="2:32" x14ac:dyDescent="0.35">
      <c r="B16" t="s">
        <v>75</v>
      </c>
      <c r="E16" s="10">
        <f>E30</f>
        <v>912</v>
      </c>
      <c r="F16" s="10">
        <f>F30</f>
        <v>962</v>
      </c>
      <c r="G16" s="10">
        <f>G30</f>
        <v>972.00000000000011</v>
      </c>
      <c r="H16" s="10">
        <f>H30</f>
        <v>979.99999999999989</v>
      </c>
      <c r="I16" s="10"/>
      <c r="J16" s="10"/>
      <c r="K16" s="10"/>
      <c r="L16" s="10"/>
      <c r="M16" s="10"/>
      <c r="O16" t="s">
        <v>98</v>
      </c>
      <c r="R16">
        <f>E15*$C$3</f>
        <v>190</v>
      </c>
      <c r="S16">
        <f>F15*$C$3</f>
        <v>185</v>
      </c>
      <c r="T16">
        <f>G15*$C$3</f>
        <v>180</v>
      </c>
      <c r="U16">
        <f>H15*$C$3</f>
        <v>175</v>
      </c>
    </row>
    <row r="17" spans="2:26" x14ac:dyDescent="0.35">
      <c r="B17" t="s">
        <v>6</v>
      </c>
      <c r="E17" s="10">
        <f>E16-E15</f>
        <v>152</v>
      </c>
      <c r="F17" s="10">
        <f t="shared" ref="F17:H17" si="4">F16-F15</f>
        <v>222</v>
      </c>
      <c r="G17" s="10">
        <f t="shared" si="4"/>
        <v>252.00000000000011</v>
      </c>
      <c r="H17" s="10">
        <f t="shared" si="4"/>
        <v>279.99999999999989</v>
      </c>
      <c r="I17" s="10"/>
      <c r="J17" s="10"/>
      <c r="K17" s="10"/>
      <c r="L17" s="10"/>
      <c r="M17" s="10"/>
      <c r="O17" t="s">
        <v>99</v>
      </c>
      <c r="R17" s="19">
        <f>R16/$C$26</f>
        <v>0.12418300653594772</v>
      </c>
      <c r="S17" s="19">
        <f t="shared" ref="S17:U17" si="5">S16/$C$26</f>
        <v>0.12091503267973856</v>
      </c>
      <c r="T17" s="19">
        <f t="shared" si="5"/>
        <v>0.11764705882352941</v>
      </c>
      <c r="U17" s="19">
        <f t="shared" si="5"/>
        <v>0.11437908496732026</v>
      </c>
      <c r="V17" s="19">
        <f t="shared" ref="V17" si="6">V16/$C$26</f>
        <v>0</v>
      </c>
      <c r="W17" s="19">
        <f t="shared" ref="W17" si="7">W16/$C$26</f>
        <v>0</v>
      </c>
      <c r="X17" s="19">
        <f t="shared" ref="X17" si="8">X16/$C$26</f>
        <v>0</v>
      </c>
      <c r="Y17" s="19">
        <f t="shared" ref="Y17" si="9">Y16/$C$26</f>
        <v>0</v>
      </c>
      <c r="Z17" s="19">
        <f t="shared" ref="Z17" si="10">Z16/$C$26</f>
        <v>0</v>
      </c>
    </row>
    <row r="18" spans="2:26" x14ac:dyDescent="0.35">
      <c r="B18" t="s">
        <v>11</v>
      </c>
      <c r="E18" s="13">
        <f>E17/E15</f>
        <v>0.2</v>
      </c>
      <c r="F18" s="13">
        <f t="shared" ref="F18:H18" si="11">F17/F15</f>
        <v>0.3</v>
      </c>
      <c r="G18" s="13">
        <f t="shared" si="11"/>
        <v>0.35000000000000014</v>
      </c>
      <c r="H18" s="13">
        <f t="shared" si="11"/>
        <v>0.39999999999999986</v>
      </c>
      <c r="I18" s="13"/>
      <c r="J18" s="13"/>
      <c r="K18" s="13"/>
      <c r="L18" s="13"/>
      <c r="M18" s="13"/>
      <c r="O18" t="s">
        <v>100</v>
      </c>
      <c r="R18" s="10">
        <f>E17</f>
        <v>152</v>
      </c>
      <c r="S18" s="10">
        <f>F17</f>
        <v>222</v>
      </c>
      <c r="T18" s="10">
        <f>G17</f>
        <v>252.00000000000011</v>
      </c>
      <c r="U18" s="10">
        <f>H17</f>
        <v>279.99999999999989</v>
      </c>
      <c r="V18" s="10"/>
      <c r="W18" s="10"/>
      <c r="X18" s="10"/>
      <c r="Y18" s="10"/>
      <c r="Z18" s="10"/>
    </row>
    <row r="19" spans="2:26" x14ac:dyDescent="0.35">
      <c r="B19" t="s">
        <v>31</v>
      </c>
      <c r="E19">
        <f>$C$26*$C$2</f>
        <v>612</v>
      </c>
      <c r="F19">
        <f t="shared" ref="F19:H19" si="12">$C$26*$C$2</f>
        <v>612</v>
      </c>
      <c r="G19">
        <f t="shared" si="12"/>
        <v>612</v>
      </c>
      <c r="H19">
        <f t="shared" si="12"/>
        <v>612</v>
      </c>
      <c r="O19" t="s">
        <v>101</v>
      </c>
      <c r="R19" s="19">
        <f>R18/$C$26</f>
        <v>9.9346405228758164E-2</v>
      </c>
      <c r="S19" s="19">
        <f t="shared" ref="S19:U19" si="13">S18/$C$26</f>
        <v>0.14509803921568629</v>
      </c>
      <c r="T19" s="19">
        <f t="shared" si="13"/>
        <v>0.16470588235294126</v>
      </c>
      <c r="U19" s="19">
        <f t="shared" si="13"/>
        <v>0.18300653594771235</v>
      </c>
      <c r="V19" s="19">
        <f t="shared" ref="V19" si="14">V18/$C$26</f>
        <v>0</v>
      </c>
      <c r="W19" s="19">
        <f t="shared" ref="W19" si="15">W18/$C$26</f>
        <v>0</v>
      </c>
      <c r="X19" s="19">
        <f t="shared" ref="X19" si="16">X18/$C$26</f>
        <v>0</v>
      </c>
      <c r="Y19" s="19">
        <f t="shared" ref="Y19" si="17">Y18/$C$26</f>
        <v>0</v>
      </c>
      <c r="Z19" s="19">
        <f t="shared" ref="Z19" si="18">Z18/$C$26</f>
        <v>0</v>
      </c>
    </row>
    <row r="20" spans="2:26" x14ac:dyDescent="0.35">
      <c r="B20" t="s">
        <v>76</v>
      </c>
      <c r="E20" s="10">
        <f>$C$26-SUM($E$17:E17)</f>
        <v>1378</v>
      </c>
      <c r="F20" s="10">
        <f>$C$26-SUM($E$17:F17)</f>
        <v>1156</v>
      </c>
      <c r="G20" s="10">
        <f>$C$26-SUM($E$17:G17)</f>
        <v>903.99999999999989</v>
      </c>
      <c r="H20" s="10">
        <f>$C$26-SUM($E$17:H17)</f>
        <v>624</v>
      </c>
      <c r="I20" s="10"/>
      <c r="J20" s="10"/>
      <c r="K20" s="10"/>
      <c r="L20" s="10"/>
      <c r="M20" s="10"/>
      <c r="V20" s="15"/>
    </row>
    <row r="21" spans="2:26" x14ac:dyDescent="0.35">
      <c r="B21" t="s">
        <v>102</v>
      </c>
      <c r="E21" t="str">
        <f>IF(E18&lt;=$C$2,"YES","NO")</f>
        <v>YES</v>
      </c>
      <c r="F21" t="str">
        <f>IF(F18&lt;=$C$2,"YES","NO")</f>
        <v>YES</v>
      </c>
      <c r="G21" t="str">
        <f>IF(G18&lt;=$C$2,"YES","NO")</f>
        <v>YES</v>
      </c>
      <c r="H21" t="str">
        <f>IF(H18&lt;=$C$2,"YES","NO")</f>
        <v>YES</v>
      </c>
      <c r="O21" t="s">
        <v>103</v>
      </c>
      <c r="P21">
        <f>SUM(R16:U16)</f>
        <v>730</v>
      </c>
    </row>
    <row r="22" spans="2:26" x14ac:dyDescent="0.35">
      <c r="B22" t="s">
        <v>79</v>
      </c>
      <c r="E22" t="str">
        <f>IF(E20&gt;=0,"YES","NO")</f>
        <v>YES</v>
      </c>
      <c r="F22" t="str">
        <f t="shared" ref="F22:H22" si="19">IF(F20&gt;=0,"YES","NO")</f>
        <v>YES</v>
      </c>
      <c r="G22" t="str">
        <f t="shared" si="19"/>
        <v>YES</v>
      </c>
      <c r="H22" t="str">
        <f t="shared" si="19"/>
        <v>YES</v>
      </c>
      <c r="O22" t="s">
        <v>104</v>
      </c>
      <c r="P22" s="10">
        <f>SUM(R18:U18)</f>
        <v>906</v>
      </c>
    </row>
    <row r="23" spans="2:26" x14ac:dyDescent="0.35">
      <c r="B23" t="s">
        <v>88</v>
      </c>
      <c r="E23" t="str">
        <f>IF(AND(E21="YES",E22="YES"),"YES","NO")</f>
        <v>YES</v>
      </c>
      <c r="F23" t="str">
        <f t="shared" ref="F23:H23" si="20">IF(AND(F21="YES",F22="YES"),"YES","NO")</f>
        <v>YES</v>
      </c>
      <c r="G23" t="str">
        <f t="shared" si="20"/>
        <v>YES</v>
      </c>
      <c r="H23" t="str">
        <f t="shared" si="20"/>
        <v>YES</v>
      </c>
      <c r="O23" t="s">
        <v>105</v>
      </c>
      <c r="P23" s="10">
        <f>P22-P21</f>
        <v>176</v>
      </c>
    </row>
    <row r="24" spans="2:26" x14ac:dyDescent="0.35">
      <c r="O24" t="s">
        <v>106</v>
      </c>
      <c r="P24" s="15">
        <f>SUM(R17:Z17)</f>
        <v>0.47712418300653597</v>
      </c>
    </row>
    <row r="25" spans="2:26" x14ac:dyDescent="0.35">
      <c r="B25" t="s">
        <v>80</v>
      </c>
      <c r="C25" s="10">
        <f>SUM(E15:M15)</f>
        <v>6120</v>
      </c>
      <c r="O25" t="s">
        <v>107</v>
      </c>
      <c r="P25" s="17">
        <f>SUM(R19:Z19)</f>
        <v>0.59215686274509804</v>
      </c>
    </row>
    <row r="26" spans="2:26" x14ac:dyDescent="0.35">
      <c r="B26" t="s">
        <v>66</v>
      </c>
      <c r="C26">
        <f>C25*$C$3</f>
        <v>1530</v>
      </c>
      <c r="O26" t="s">
        <v>108</v>
      </c>
      <c r="P26" s="14">
        <f>P25-P24</f>
        <v>0.11503267973856207</v>
      </c>
    </row>
    <row r="28" spans="2:26" x14ac:dyDescent="0.35">
      <c r="B28" t="s">
        <v>109</v>
      </c>
    </row>
    <row r="29" spans="2:26" x14ac:dyDescent="0.35">
      <c r="B29" t="s">
        <v>1</v>
      </c>
      <c r="E29" s="10">
        <v>2022</v>
      </c>
      <c r="F29" s="10">
        <f>E29+1</f>
        <v>2023</v>
      </c>
      <c r="G29" s="10">
        <f t="shared" ref="G29:L29" si="21">F29+1</f>
        <v>2024</v>
      </c>
      <c r="H29" s="10">
        <f t="shared" si="21"/>
        <v>2025</v>
      </c>
      <c r="I29" s="10">
        <f t="shared" si="21"/>
        <v>2026</v>
      </c>
      <c r="J29" s="10">
        <f t="shared" si="21"/>
        <v>2027</v>
      </c>
      <c r="K29" s="10">
        <f t="shared" si="21"/>
        <v>2028</v>
      </c>
      <c r="L29" s="10">
        <f t="shared" si="21"/>
        <v>2029</v>
      </c>
      <c r="M29">
        <v>2030</v>
      </c>
    </row>
    <row r="30" spans="2:26" x14ac:dyDescent="0.35">
      <c r="B30" t="s">
        <v>82</v>
      </c>
      <c r="E30" s="10">
        <f t="shared" ref="E30:M30" si="22">E$15*(1+E33)</f>
        <v>912</v>
      </c>
      <c r="F30" s="10">
        <f t="shared" si="22"/>
        <v>962</v>
      </c>
      <c r="G30" s="10">
        <f t="shared" si="22"/>
        <v>972.00000000000011</v>
      </c>
      <c r="H30" s="10">
        <f t="shared" si="22"/>
        <v>979.99999999999989</v>
      </c>
      <c r="I30" s="10">
        <f t="shared" si="22"/>
        <v>951.99999999999989</v>
      </c>
      <c r="J30" s="10">
        <f t="shared" si="22"/>
        <v>825</v>
      </c>
      <c r="K30" s="10">
        <f t="shared" si="22"/>
        <v>768</v>
      </c>
      <c r="L30" s="10">
        <f t="shared" si="22"/>
        <v>713</v>
      </c>
      <c r="M30" s="10">
        <f t="shared" si="22"/>
        <v>600</v>
      </c>
    </row>
    <row r="31" spans="2:26" x14ac:dyDescent="0.35">
      <c r="B31" t="s">
        <v>110</v>
      </c>
      <c r="E31" s="10">
        <f t="shared" ref="E31:M31" si="23">E$15*(1+E34)</f>
        <v>836.00000000000011</v>
      </c>
      <c r="F31" s="10">
        <f t="shared" si="23"/>
        <v>888</v>
      </c>
      <c r="G31" s="10">
        <f t="shared" si="23"/>
        <v>885.6</v>
      </c>
      <c r="H31" s="10">
        <f t="shared" si="23"/>
        <v>804.99999999999989</v>
      </c>
      <c r="I31" s="10">
        <f t="shared" si="23"/>
        <v>843.2</v>
      </c>
      <c r="J31" s="10">
        <f t="shared" si="23"/>
        <v>792</v>
      </c>
      <c r="K31" s="10">
        <f t="shared" si="23"/>
        <v>768</v>
      </c>
      <c r="L31" s="10">
        <f t="shared" si="23"/>
        <v>713</v>
      </c>
      <c r="M31" s="10">
        <f t="shared" si="23"/>
        <v>600</v>
      </c>
    </row>
    <row r="32" spans="2:26" x14ac:dyDescent="0.35">
      <c r="B32" t="s">
        <v>111</v>
      </c>
      <c r="E32" s="10">
        <f t="shared" ref="E32:M32" si="24">E$15*(1+E35)</f>
        <v>836.00000000000011</v>
      </c>
      <c r="F32" s="10">
        <f t="shared" si="24"/>
        <v>888</v>
      </c>
      <c r="G32" s="10">
        <f t="shared" si="24"/>
        <v>936</v>
      </c>
      <c r="H32" s="10">
        <f t="shared" si="24"/>
        <v>945.00000000000011</v>
      </c>
      <c r="I32" s="10">
        <f t="shared" si="24"/>
        <v>918.00000000000011</v>
      </c>
      <c r="J32" s="10">
        <f t="shared" si="24"/>
        <v>825</v>
      </c>
      <c r="K32" s="10">
        <f t="shared" si="24"/>
        <v>768</v>
      </c>
      <c r="L32" s="10">
        <f t="shared" si="24"/>
        <v>713</v>
      </c>
      <c r="M32" s="10">
        <f t="shared" si="24"/>
        <v>600</v>
      </c>
    </row>
    <row r="33" spans="2:32" x14ac:dyDescent="0.35">
      <c r="E33" s="9">
        <v>0.2</v>
      </c>
      <c r="F33" s="9">
        <v>0.3</v>
      </c>
      <c r="G33" s="9">
        <v>0.35</v>
      </c>
      <c r="H33" s="9">
        <v>0.4</v>
      </c>
      <c r="I33" s="9">
        <v>0.4</v>
      </c>
      <c r="J33" s="9">
        <v>0.25</v>
      </c>
      <c r="K33" s="9">
        <v>0.2</v>
      </c>
      <c r="L33" s="9">
        <v>0.15</v>
      </c>
      <c r="M33" s="9">
        <v>0</v>
      </c>
    </row>
    <row r="34" spans="2:32" x14ac:dyDescent="0.35">
      <c r="E34">
        <v>0.1</v>
      </c>
      <c r="F34">
        <v>0.2</v>
      </c>
      <c r="G34">
        <v>0.23</v>
      </c>
      <c r="H34">
        <v>0.15</v>
      </c>
      <c r="I34">
        <v>0.24</v>
      </c>
      <c r="J34">
        <v>0.2</v>
      </c>
      <c r="K34">
        <v>0.2</v>
      </c>
      <c r="L34">
        <v>0.15</v>
      </c>
      <c r="M34" s="9">
        <v>0</v>
      </c>
    </row>
    <row r="35" spans="2:32" x14ac:dyDescent="0.35">
      <c r="E35">
        <v>0.1</v>
      </c>
      <c r="F35">
        <v>0.2</v>
      </c>
      <c r="G35">
        <v>0.3</v>
      </c>
      <c r="H35">
        <v>0.35</v>
      </c>
      <c r="I35">
        <v>0.35</v>
      </c>
      <c r="J35">
        <v>0.25</v>
      </c>
      <c r="K35">
        <v>0.2</v>
      </c>
      <c r="L35">
        <v>0.15</v>
      </c>
      <c r="M35" s="9">
        <v>0</v>
      </c>
    </row>
    <row r="37" spans="2:32" x14ac:dyDescent="0.35">
      <c r="B37" s="16" t="s">
        <v>112</v>
      </c>
    </row>
    <row r="38" spans="2:32" x14ac:dyDescent="0.35">
      <c r="B38" t="s">
        <v>1</v>
      </c>
      <c r="C38">
        <v>2020</v>
      </c>
      <c r="D38">
        <v>2021</v>
      </c>
      <c r="E38">
        <v>2022</v>
      </c>
      <c r="F38">
        <v>2023</v>
      </c>
      <c r="G38">
        <v>2024</v>
      </c>
      <c r="H38">
        <v>2025</v>
      </c>
      <c r="I38" s="18">
        <v>2026</v>
      </c>
      <c r="J38" s="18">
        <v>2027</v>
      </c>
      <c r="K38" s="18">
        <v>2028</v>
      </c>
      <c r="L38" s="18">
        <v>2029</v>
      </c>
      <c r="M38" s="18">
        <v>2030</v>
      </c>
    </row>
    <row r="39" spans="2:32" x14ac:dyDescent="0.35">
      <c r="B39" t="s">
        <v>74</v>
      </c>
      <c r="C39">
        <f>C11</f>
        <v>960</v>
      </c>
      <c r="D39">
        <f t="shared" ref="D39:M39" si="25">D11</f>
        <v>936</v>
      </c>
      <c r="E39">
        <f t="shared" si="25"/>
        <v>912</v>
      </c>
      <c r="F39">
        <f t="shared" si="25"/>
        <v>888</v>
      </c>
      <c r="G39">
        <f t="shared" si="25"/>
        <v>864</v>
      </c>
      <c r="H39">
        <f t="shared" si="25"/>
        <v>840</v>
      </c>
      <c r="I39">
        <f t="shared" si="25"/>
        <v>816</v>
      </c>
      <c r="J39">
        <f t="shared" si="25"/>
        <v>792</v>
      </c>
      <c r="K39">
        <f t="shared" si="25"/>
        <v>768</v>
      </c>
      <c r="L39">
        <f t="shared" si="25"/>
        <v>744</v>
      </c>
      <c r="M39">
        <f t="shared" si="25"/>
        <v>720</v>
      </c>
    </row>
    <row r="40" spans="2:32" x14ac:dyDescent="0.35">
      <c r="B40" t="s">
        <v>75</v>
      </c>
      <c r="E40" s="10"/>
      <c r="F40" s="10"/>
      <c r="G40" s="10"/>
      <c r="H40" s="10"/>
      <c r="I40" s="20">
        <f>I54</f>
        <v>1142.3999999999999</v>
      </c>
      <c r="J40" s="10">
        <f t="shared" ref="J40:M40" si="26">J54</f>
        <v>990</v>
      </c>
      <c r="K40" s="10">
        <f t="shared" si="26"/>
        <v>921.59999999999991</v>
      </c>
      <c r="L40" s="10">
        <f t="shared" si="26"/>
        <v>855.59999999999991</v>
      </c>
      <c r="M40" s="10">
        <f t="shared" si="26"/>
        <v>720</v>
      </c>
    </row>
    <row r="41" spans="2:32" x14ac:dyDescent="0.35">
      <c r="B41" t="s">
        <v>6</v>
      </c>
      <c r="E41" s="10"/>
      <c r="F41" s="10"/>
      <c r="G41" s="10"/>
      <c r="H41" s="10"/>
      <c r="I41" s="10">
        <f>I40-I39</f>
        <v>326.39999999999986</v>
      </c>
      <c r="J41" s="10">
        <f t="shared" ref="J41" si="27">J40-J39</f>
        <v>198</v>
      </c>
      <c r="K41" s="10">
        <f t="shared" ref="K41" si="28">K40-K39</f>
        <v>153.59999999999991</v>
      </c>
      <c r="L41" s="10">
        <f t="shared" ref="L41" si="29">L40-L39</f>
        <v>111.59999999999991</v>
      </c>
      <c r="M41" s="10">
        <f t="shared" ref="M41" si="30">M40-M39</f>
        <v>0</v>
      </c>
    </row>
    <row r="42" spans="2:32" x14ac:dyDescent="0.35">
      <c r="B42" t="s">
        <v>11</v>
      </c>
      <c r="E42" s="13"/>
      <c r="F42" s="13"/>
      <c r="G42" s="13"/>
      <c r="H42" s="13"/>
      <c r="I42" s="13">
        <f>I41/I39</f>
        <v>0.39999999999999986</v>
      </c>
      <c r="J42" s="13">
        <f t="shared" ref="J42" si="31">J41/J39</f>
        <v>0.25</v>
      </c>
      <c r="K42" s="13">
        <f t="shared" ref="K42" si="32">K41/K39</f>
        <v>0.19999999999999987</v>
      </c>
      <c r="L42" s="13">
        <f t="shared" ref="L42" si="33">L41/L39</f>
        <v>0.14999999999999988</v>
      </c>
      <c r="M42" s="13">
        <f t="shared" ref="M42" si="34">M41/M39</f>
        <v>0</v>
      </c>
    </row>
    <row r="43" spans="2:32" x14ac:dyDescent="0.35">
      <c r="B43" t="s">
        <v>31</v>
      </c>
      <c r="I43" s="20">
        <f>$C$50*$C$2</f>
        <v>313.60000000000002</v>
      </c>
      <c r="J43" s="20">
        <f t="shared" ref="J43:M43" si="35">$C$50*$C$2</f>
        <v>313.60000000000002</v>
      </c>
      <c r="K43" s="20">
        <f t="shared" si="35"/>
        <v>313.60000000000002</v>
      </c>
      <c r="L43" s="20">
        <f t="shared" si="35"/>
        <v>313.60000000000002</v>
      </c>
      <c r="M43" s="20">
        <f t="shared" si="35"/>
        <v>313.60000000000002</v>
      </c>
    </row>
    <row r="44" spans="2:32" x14ac:dyDescent="0.35">
      <c r="B44" t="s">
        <v>76</v>
      </c>
      <c r="E44" s="10"/>
      <c r="F44" s="10"/>
      <c r="G44" s="10"/>
      <c r="H44" s="10"/>
      <c r="I44" s="10">
        <f>$C$50-SUM($I$41:I41)</f>
        <v>457.60000000000014</v>
      </c>
      <c r="J44" s="10">
        <f>$C$50-SUM($I$41:J41)</f>
        <v>259.60000000000014</v>
      </c>
      <c r="K44" s="10">
        <f>$C$50-SUM($I$41:K41)</f>
        <v>106.00000000000023</v>
      </c>
      <c r="L44" s="10">
        <f>$C$50-SUM($I$41:L41)</f>
        <v>-5.5999999999996817</v>
      </c>
      <c r="M44" s="10">
        <f>$C$50-SUM($I$41:M41)</f>
        <v>-5.5999999999996817</v>
      </c>
      <c r="U44" s="10"/>
      <c r="V44" s="10"/>
      <c r="W44" s="10"/>
      <c r="X44" s="10"/>
      <c r="Y44" s="10"/>
      <c r="Z44" s="10"/>
      <c r="AA44" s="10"/>
      <c r="AB44" s="10"/>
      <c r="AF44" s="12"/>
    </row>
    <row r="45" spans="2:32" x14ac:dyDescent="0.35">
      <c r="B45" t="s">
        <v>102</v>
      </c>
      <c r="I45" t="str">
        <f t="shared" ref="I45:M45" si="36">IF(I42&lt;=$C$2,"YES","NO")</f>
        <v>YES</v>
      </c>
      <c r="J45" t="str">
        <f>IF(J42&lt;=$C$2,"YES","NO")</f>
        <v>YES</v>
      </c>
      <c r="K45" t="str">
        <f t="shared" si="36"/>
        <v>YES</v>
      </c>
      <c r="L45" t="str">
        <f t="shared" si="36"/>
        <v>YES</v>
      </c>
      <c r="M45" t="str">
        <f t="shared" si="36"/>
        <v>YES</v>
      </c>
    </row>
    <row r="46" spans="2:32" x14ac:dyDescent="0.35">
      <c r="B46" t="s">
        <v>79</v>
      </c>
      <c r="I46" t="str">
        <f t="shared" ref="I46:M46" si="37">IF(I44&gt;=0,"YES","NO")</f>
        <v>YES</v>
      </c>
      <c r="J46" t="str">
        <f t="shared" si="37"/>
        <v>YES</v>
      </c>
      <c r="K46" t="str">
        <f t="shared" si="37"/>
        <v>YES</v>
      </c>
      <c r="L46" t="str">
        <f t="shared" si="37"/>
        <v>NO</v>
      </c>
      <c r="M46" t="str">
        <f t="shared" si="37"/>
        <v>NO</v>
      </c>
    </row>
    <row r="47" spans="2:32" x14ac:dyDescent="0.35">
      <c r="B47" t="s">
        <v>88</v>
      </c>
      <c r="I47" t="str">
        <f t="shared" ref="I47" si="38">IF(AND(I45="YES",I46="YES"),"YES","NO")</f>
        <v>YES</v>
      </c>
      <c r="J47" t="str">
        <f t="shared" ref="J47" si="39">IF(AND(J45="YES",J46="YES"),"YES","NO")</f>
        <v>YES</v>
      </c>
      <c r="K47" t="str">
        <f t="shared" ref="K47" si="40">IF(AND(K45="YES",K46="YES"),"YES","NO")</f>
        <v>YES</v>
      </c>
      <c r="L47" t="str">
        <f t="shared" ref="L47" si="41">IF(AND(L45="YES",L46="YES"),"YES","NO")</f>
        <v>NO</v>
      </c>
      <c r="M47" t="str">
        <f t="shared" ref="M47" si="42">IF(AND(M45="YES",M46="YES"),"YES","NO")</f>
        <v>NO</v>
      </c>
    </row>
    <row r="49" spans="2:29" x14ac:dyDescent="0.35">
      <c r="B49" t="s">
        <v>80</v>
      </c>
      <c r="C49" s="10">
        <f>SUM(I39:M39)</f>
        <v>3840</v>
      </c>
      <c r="U49" s="10"/>
      <c r="V49" s="10"/>
      <c r="W49" s="10"/>
      <c r="X49" s="10"/>
      <c r="Y49" s="10"/>
      <c r="Z49" s="10"/>
      <c r="AA49" s="10"/>
      <c r="AB49" s="10"/>
      <c r="AC49" s="10"/>
    </row>
    <row r="50" spans="2:29" x14ac:dyDescent="0.35">
      <c r="B50" t="s">
        <v>113</v>
      </c>
      <c r="C50">
        <f>(C49*$C$3)-P23</f>
        <v>784</v>
      </c>
    </row>
    <row r="51" spans="2:29" x14ac:dyDescent="0.35">
      <c r="U51" s="17"/>
      <c r="V51" s="17"/>
      <c r="W51" s="17"/>
      <c r="X51" s="17"/>
      <c r="Y51" s="17"/>
      <c r="Z51" s="17"/>
      <c r="AA51" s="17"/>
      <c r="AB51" s="17"/>
      <c r="AC51" s="17"/>
    </row>
    <row r="52" spans="2:29" x14ac:dyDescent="0.35">
      <c r="B52" t="s">
        <v>109</v>
      </c>
      <c r="U52" s="17"/>
      <c r="V52" s="17"/>
      <c r="W52" s="17"/>
      <c r="X52" s="17"/>
      <c r="Y52" s="17"/>
      <c r="Z52" s="17"/>
      <c r="AA52" s="17"/>
      <c r="AB52" s="17"/>
      <c r="AC52" s="17"/>
    </row>
    <row r="53" spans="2:29" x14ac:dyDescent="0.35">
      <c r="B53" t="s">
        <v>1</v>
      </c>
      <c r="E53" s="10">
        <v>2022</v>
      </c>
      <c r="F53" s="10">
        <f>E53+1</f>
        <v>2023</v>
      </c>
      <c r="G53" s="10">
        <f t="shared" ref="G53" si="43">F53+1</f>
        <v>2024</v>
      </c>
      <c r="H53" s="10">
        <f t="shared" ref="H53" si="44">G53+1</f>
        <v>2025</v>
      </c>
      <c r="I53" s="10">
        <f t="shared" ref="I53" si="45">H53+1</f>
        <v>2026</v>
      </c>
      <c r="J53" s="10">
        <f t="shared" ref="J53" si="46">I53+1</f>
        <v>2027</v>
      </c>
      <c r="K53" s="10">
        <f t="shared" ref="K53" si="47">J53+1</f>
        <v>2028</v>
      </c>
      <c r="L53" s="10">
        <f t="shared" ref="L53" si="48">K53+1</f>
        <v>2029</v>
      </c>
      <c r="M53">
        <v>2030</v>
      </c>
    </row>
    <row r="54" spans="2:29" x14ac:dyDescent="0.35">
      <c r="B54" t="s">
        <v>82</v>
      </c>
      <c r="E54" s="10">
        <f>E$39*(1+E57)</f>
        <v>1094.3999999999999</v>
      </c>
      <c r="F54" s="10">
        <f t="shared" ref="F54:M54" si="49">F$39*(1+F57)</f>
        <v>1154.4000000000001</v>
      </c>
      <c r="G54" s="10">
        <f t="shared" si="49"/>
        <v>1166.4000000000001</v>
      </c>
      <c r="H54" s="10">
        <f t="shared" si="49"/>
        <v>1176</v>
      </c>
      <c r="I54" s="10">
        <f t="shared" si="49"/>
        <v>1142.3999999999999</v>
      </c>
      <c r="J54" s="10">
        <f t="shared" si="49"/>
        <v>990</v>
      </c>
      <c r="K54" s="10">
        <f t="shared" si="49"/>
        <v>921.59999999999991</v>
      </c>
      <c r="L54" s="10">
        <f t="shared" si="49"/>
        <v>855.59999999999991</v>
      </c>
      <c r="M54" s="10">
        <f t="shared" si="49"/>
        <v>720</v>
      </c>
    </row>
    <row r="55" spans="2:29" x14ac:dyDescent="0.35">
      <c r="B55" t="s">
        <v>110</v>
      </c>
      <c r="E55" s="10">
        <f>E$39*(1+E58)</f>
        <v>1003.2</v>
      </c>
      <c r="F55" s="10">
        <f t="shared" ref="F55:M55" si="50">F$39*(1+F58)</f>
        <v>1065.5999999999999</v>
      </c>
      <c r="G55" s="10">
        <f t="shared" si="50"/>
        <v>1062.72</v>
      </c>
      <c r="H55" s="10">
        <f t="shared" si="50"/>
        <v>965.99999999999989</v>
      </c>
      <c r="I55" s="10">
        <f t="shared" si="50"/>
        <v>1011.84</v>
      </c>
      <c r="J55" s="10">
        <f t="shared" si="50"/>
        <v>950.4</v>
      </c>
      <c r="K55" s="10">
        <f t="shared" si="50"/>
        <v>921.59999999999991</v>
      </c>
      <c r="L55" s="10">
        <f t="shared" si="50"/>
        <v>855.59999999999991</v>
      </c>
      <c r="M55" s="10">
        <f t="shared" si="50"/>
        <v>720</v>
      </c>
      <c r="U55" s="10"/>
      <c r="V55" s="10"/>
      <c r="W55" s="10"/>
      <c r="X55" s="10"/>
    </row>
    <row r="56" spans="2:29" x14ac:dyDescent="0.35">
      <c r="B56" t="s">
        <v>111</v>
      </c>
      <c r="E56" s="10">
        <f>E$39*(1+E59)</f>
        <v>1003.2</v>
      </c>
      <c r="F56" s="10">
        <f t="shared" ref="F56:M56" si="51">F$39*(1+F59)</f>
        <v>1065.5999999999999</v>
      </c>
      <c r="G56" s="10">
        <f t="shared" si="51"/>
        <v>1123.2</v>
      </c>
      <c r="H56" s="10">
        <f t="shared" si="51"/>
        <v>1134</v>
      </c>
      <c r="I56" s="10">
        <f t="shared" si="51"/>
        <v>1101.6000000000001</v>
      </c>
      <c r="J56" s="10">
        <f t="shared" si="51"/>
        <v>990</v>
      </c>
      <c r="K56" s="10">
        <f t="shared" si="51"/>
        <v>921.59999999999991</v>
      </c>
      <c r="L56" s="10">
        <f t="shared" si="51"/>
        <v>855.59999999999991</v>
      </c>
      <c r="M56" s="10">
        <f t="shared" si="51"/>
        <v>720</v>
      </c>
      <c r="U56" s="17"/>
      <c r="V56" s="17"/>
      <c r="W56" s="17"/>
      <c r="X56" s="17"/>
      <c r="Y56" s="17"/>
      <c r="Z56" s="17"/>
      <c r="AA56" s="17"/>
      <c r="AB56" s="17"/>
      <c r="AC56" s="17"/>
    </row>
    <row r="57" spans="2:29" x14ac:dyDescent="0.35">
      <c r="E57" s="9">
        <v>0.2</v>
      </c>
      <c r="F57" s="9">
        <v>0.3</v>
      </c>
      <c r="G57" s="9">
        <v>0.35</v>
      </c>
      <c r="H57" s="9">
        <v>0.4</v>
      </c>
      <c r="I57" s="9">
        <v>0.4</v>
      </c>
      <c r="J57" s="9">
        <v>0.25</v>
      </c>
      <c r="K57" s="9">
        <v>0.2</v>
      </c>
      <c r="L57" s="9">
        <v>0.15</v>
      </c>
      <c r="M57" s="9">
        <v>0</v>
      </c>
      <c r="U57" s="13"/>
      <c r="V57" s="13"/>
      <c r="W57" s="13"/>
      <c r="X57" s="13"/>
    </row>
    <row r="58" spans="2:29" x14ac:dyDescent="0.35">
      <c r="E58">
        <v>0.1</v>
      </c>
      <c r="F58">
        <v>0.2</v>
      </c>
      <c r="G58">
        <v>0.23</v>
      </c>
      <c r="H58">
        <v>0.15</v>
      </c>
      <c r="I58">
        <v>0.24</v>
      </c>
      <c r="J58">
        <v>0.2</v>
      </c>
      <c r="K58">
        <v>0.2</v>
      </c>
      <c r="L58">
        <v>0.15</v>
      </c>
      <c r="M58" s="9">
        <v>0</v>
      </c>
    </row>
    <row r="59" spans="2:29" x14ac:dyDescent="0.35">
      <c r="E59">
        <v>0.1</v>
      </c>
      <c r="F59">
        <v>0.2</v>
      </c>
      <c r="G59">
        <v>0.3</v>
      </c>
      <c r="H59">
        <v>0.35</v>
      </c>
      <c r="I59">
        <v>0.35</v>
      </c>
      <c r="J59">
        <v>0.25</v>
      </c>
      <c r="K59">
        <v>0.2</v>
      </c>
      <c r="L59">
        <v>0.15</v>
      </c>
      <c r="M59" s="9">
        <v>0</v>
      </c>
    </row>
    <row r="60" spans="2:29" x14ac:dyDescent="0.35">
      <c r="E60" s="10"/>
      <c r="F60" s="10"/>
      <c r="G60" s="10"/>
      <c r="H60" s="10"/>
      <c r="I60" s="10"/>
      <c r="J60" s="10"/>
      <c r="K60" s="10"/>
      <c r="L60" s="10"/>
      <c r="M60" s="10"/>
    </row>
    <row r="61" spans="2:29" x14ac:dyDescent="0.35">
      <c r="E61" s="10"/>
      <c r="F61" s="10"/>
      <c r="G61" s="10"/>
      <c r="H61" s="10"/>
      <c r="I61" s="10"/>
      <c r="J61" s="10"/>
      <c r="K61" s="10"/>
      <c r="L61" s="10"/>
      <c r="M61" s="10"/>
    </row>
    <row r="62" spans="2:29" x14ac:dyDescent="0.35">
      <c r="E62" s="10"/>
      <c r="F62" s="10"/>
      <c r="G62" s="10"/>
      <c r="H62" s="10"/>
      <c r="I62" s="10"/>
      <c r="J62" s="10"/>
      <c r="K62" s="10"/>
      <c r="L62" s="10"/>
      <c r="M62" s="10"/>
    </row>
    <row r="63" spans="2:29" x14ac:dyDescent="0.35">
      <c r="E63" s="9"/>
      <c r="F63" s="9"/>
      <c r="G63" s="9"/>
      <c r="H63" s="9"/>
      <c r="I63" s="9"/>
      <c r="J63" s="9"/>
      <c r="K63" s="9"/>
      <c r="L63" s="9"/>
      <c r="M63" s="9"/>
    </row>
    <row r="64" spans="2:29" x14ac:dyDescent="0.35">
      <c r="M64" s="9"/>
    </row>
    <row r="65" spans="13:13" x14ac:dyDescent="0.35">
      <c r="M65" s="9"/>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04600FD-355D-4C75-BE9C-25EE3717D3C2}">
  <dimension ref="B1:AF65"/>
  <sheetViews>
    <sheetView topLeftCell="A43" zoomScale="90" zoomScaleNormal="90" workbookViewId="0">
      <selection activeCell="C50" sqref="C50"/>
    </sheetView>
  </sheetViews>
  <sheetFormatPr defaultRowHeight="14.5" x14ac:dyDescent="0.35"/>
  <cols>
    <col min="2" max="2" width="33.26953125" customWidth="1"/>
    <col min="4" max="4" width="9.7265625" customWidth="1"/>
    <col min="19" max="19" width="8.81640625" bestFit="1" customWidth="1"/>
    <col min="20" max="20" width="10.26953125" customWidth="1"/>
    <col min="21" max="21" width="9.453125" bestFit="1" customWidth="1"/>
  </cols>
  <sheetData>
    <row r="1" spans="2:32" x14ac:dyDescent="0.35">
      <c r="B1" s="16" t="s">
        <v>27</v>
      </c>
      <c r="C1" t="s">
        <v>28</v>
      </c>
    </row>
    <row r="2" spans="2:32" x14ac:dyDescent="0.35">
      <c r="B2" t="s">
        <v>31</v>
      </c>
      <c r="C2" s="12">
        <v>0.4</v>
      </c>
      <c r="D2" t="s">
        <v>64</v>
      </c>
    </row>
    <row r="3" spans="2:32" x14ac:dyDescent="0.35">
      <c r="B3" t="s">
        <v>66</v>
      </c>
      <c r="C3" s="12">
        <v>0.25</v>
      </c>
      <c r="D3" t="s">
        <v>67</v>
      </c>
    </row>
    <row r="4" spans="2:32" x14ac:dyDescent="0.35">
      <c r="C4" s="12"/>
    </row>
    <row r="5" spans="2:32" x14ac:dyDescent="0.35">
      <c r="B5" s="16" t="s">
        <v>92</v>
      </c>
      <c r="C5" s="12"/>
    </row>
    <row r="6" spans="2:32" x14ac:dyDescent="0.35">
      <c r="B6" t="s">
        <v>92</v>
      </c>
      <c r="C6" s="12">
        <v>0.3</v>
      </c>
      <c r="D6" t="s">
        <v>93</v>
      </c>
    </row>
    <row r="8" spans="2:32" x14ac:dyDescent="0.35">
      <c r="B8" s="16" t="s">
        <v>15</v>
      </c>
    </row>
    <row r="9" spans="2:32" x14ac:dyDescent="0.35">
      <c r="B9" t="s">
        <v>1</v>
      </c>
      <c r="C9">
        <v>2020</v>
      </c>
      <c r="D9">
        <v>2021</v>
      </c>
      <c r="E9">
        <v>2022</v>
      </c>
      <c r="F9">
        <v>2023</v>
      </c>
      <c r="G9">
        <v>2024</v>
      </c>
      <c r="H9">
        <v>2025</v>
      </c>
      <c r="I9">
        <v>2026</v>
      </c>
      <c r="J9">
        <v>2027</v>
      </c>
      <c r="K9">
        <v>2028</v>
      </c>
      <c r="L9">
        <v>2029</v>
      </c>
      <c r="M9">
        <v>2030</v>
      </c>
      <c r="AF9" s="12"/>
    </row>
    <row r="10" spans="2:32" x14ac:dyDescent="0.35">
      <c r="B10" t="s">
        <v>94</v>
      </c>
      <c r="C10">
        <v>800</v>
      </c>
      <c r="D10">
        <f>C10-$C$10*0.025</f>
        <v>780</v>
      </c>
      <c r="E10">
        <f t="shared" ref="E10:M10" si="0">D10-$C$10*0.025</f>
        <v>760</v>
      </c>
      <c r="F10">
        <f t="shared" si="0"/>
        <v>740</v>
      </c>
      <c r="G10">
        <f t="shared" si="0"/>
        <v>720</v>
      </c>
      <c r="H10">
        <f t="shared" si="0"/>
        <v>700</v>
      </c>
      <c r="I10">
        <f t="shared" si="0"/>
        <v>680</v>
      </c>
      <c r="J10">
        <f t="shared" si="0"/>
        <v>660</v>
      </c>
      <c r="K10">
        <f t="shared" si="0"/>
        <v>640</v>
      </c>
      <c r="L10">
        <f t="shared" si="0"/>
        <v>620</v>
      </c>
      <c r="M10">
        <f t="shared" si="0"/>
        <v>600</v>
      </c>
      <c r="AF10" s="12"/>
    </row>
    <row r="11" spans="2:32" x14ac:dyDescent="0.35">
      <c r="B11" t="s">
        <v>95</v>
      </c>
      <c r="C11">
        <f>C10*(1+$C$6)</f>
        <v>1040</v>
      </c>
      <c r="D11">
        <f t="shared" ref="D11:M11" si="1">D10*(1+$C$6)</f>
        <v>1014</v>
      </c>
      <c r="E11">
        <f t="shared" si="1"/>
        <v>988</v>
      </c>
      <c r="F11">
        <f t="shared" si="1"/>
        <v>962</v>
      </c>
      <c r="G11">
        <f t="shared" si="1"/>
        <v>936</v>
      </c>
      <c r="H11">
        <f t="shared" si="1"/>
        <v>910</v>
      </c>
      <c r="I11">
        <f t="shared" si="1"/>
        <v>884</v>
      </c>
      <c r="J11">
        <f t="shared" si="1"/>
        <v>858</v>
      </c>
      <c r="K11">
        <f t="shared" si="1"/>
        <v>832</v>
      </c>
      <c r="L11">
        <f t="shared" si="1"/>
        <v>806</v>
      </c>
      <c r="M11">
        <f t="shared" si="1"/>
        <v>780</v>
      </c>
    </row>
    <row r="12" spans="2:32" x14ac:dyDescent="0.35">
      <c r="E12" s="10"/>
      <c r="F12" s="10"/>
      <c r="G12" s="10"/>
      <c r="H12" s="10"/>
      <c r="I12" s="10"/>
      <c r="J12" s="10"/>
      <c r="K12" s="10"/>
      <c r="L12" s="10"/>
      <c r="M12" s="10"/>
    </row>
    <row r="13" spans="2:32" x14ac:dyDescent="0.35">
      <c r="B13" s="16" t="s">
        <v>96</v>
      </c>
    </row>
    <row r="14" spans="2:32" x14ac:dyDescent="0.35">
      <c r="B14" t="s">
        <v>1</v>
      </c>
      <c r="C14">
        <v>2020</v>
      </c>
      <c r="D14">
        <v>2021</v>
      </c>
      <c r="E14" s="18">
        <v>2022</v>
      </c>
      <c r="F14" s="18">
        <v>2023</v>
      </c>
      <c r="G14" s="18">
        <v>2024</v>
      </c>
      <c r="H14" s="18">
        <v>2025</v>
      </c>
      <c r="I14">
        <v>2026</v>
      </c>
      <c r="J14">
        <v>2027</v>
      </c>
      <c r="K14">
        <v>2028</v>
      </c>
      <c r="L14">
        <v>2029</v>
      </c>
      <c r="M14">
        <v>2030</v>
      </c>
      <c r="O14" s="16" t="s">
        <v>97</v>
      </c>
    </row>
    <row r="15" spans="2:32" x14ac:dyDescent="0.35">
      <c r="B15" t="s">
        <v>74</v>
      </c>
      <c r="C15">
        <f t="shared" ref="C15:H15" si="2">C10</f>
        <v>800</v>
      </c>
      <c r="D15">
        <f t="shared" si="2"/>
        <v>780</v>
      </c>
      <c r="E15">
        <f t="shared" si="2"/>
        <v>760</v>
      </c>
      <c r="F15">
        <f t="shared" si="2"/>
        <v>740</v>
      </c>
      <c r="G15">
        <f t="shared" si="2"/>
        <v>720</v>
      </c>
      <c r="H15">
        <f t="shared" si="2"/>
        <v>700</v>
      </c>
      <c r="I15">
        <f t="shared" ref="I15:M15" si="3">I10</f>
        <v>680</v>
      </c>
      <c r="J15">
        <f t="shared" si="3"/>
        <v>660</v>
      </c>
      <c r="K15">
        <f t="shared" si="3"/>
        <v>640</v>
      </c>
      <c r="L15">
        <f t="shared" si="3"/>
        <v>620</v>
      </c>
      <c r="M15">
        <f t="shared" si="3"/>
        <v>600</v>
      </c>
      <c r="O15" t="s">
        <v>1</v>
      </c>
      <c r="P15">
        <v>2020</v>
      </c>
      <c r="Q15">
        <v>2021</v>
      </c>
      <c r="R15" s="18">
        <v>2022</v>
      </c>
      <c r="S15" s="18">
        <v>2023</v>
      </c>
      <c r="T15" s="18">
        <v>2024</v>
      </c>
      <c r="U15" s="18">
        <v>2025</v>
      </c>
      <c r="V15">
        <v>2026</v>
      </c>
      <c r="W15">
        <v>2027</v>
      </c>
      <c r="X15">
        <v>2028</v>
      </c>
      <c r="Y15">
        <v>2029</v>
      </c>
      <c r="Z15">
        <v>2030</v>
      </c>
    </row>
    <row r="16" spans="2:32" x14ac:dyDescent="0.35">
      <c r="B16" t="s">
        <v>75</v>
      </c>
      <c r="E16" s="10">
        <f>E30</f>
        <v>912</v>
      </c>
      <c r="F16" s="10">
        <f>F30</f>
        <v>962</v>
      </c>
      <c r="G16" s="10">
        <f>G30</f>
        <v>972.00000000000011</v>
      </c>
      <c r="H16" s="10">
        <f>H30</f>
        <v>979.99999999999989</v>
      </c>
      <c r="I16" s="10"/>
      <c r="J16" s="10"/>
      <c r="K16" s="10"/>
      <c r="L16" s="10"/>
      <c r="M16" s="10"/>
      <c r="O16" t="s">
        <v>98</v>
      </c>
      <c r="R16">
        <f>E15*$C$3</f>
        <v>190</v>
      </c>
      <c r="S16">
        <f>F15*$C$3</f>
        <v>185</v>
      </c>
      <c r="T16">
        <f>G15*$C$3</f>
        <v>180</v>
      </c>
      <c r="U16">
        <f>H15*$C$3</f>
        <v>175</v>
      </c>
    </row>
    <row r="17" spans="2:26" x14ac:dyDescent="0.35">
      <c r="B17" t="s">
        <v>6</v>
      </c>
      <c r="E17" s="10">
        <f>E16-E15</f>
        <v>152</v>
      </c>
      <c r="F17" s="10">
        <f t="shared" ref="F17:H17" si="4">F16-F15</f>
        <v>222</v>
      </c>
      <c r="G17" s="10">
        <f t="shared" si="4"/>
        <v>252.00000000000011</v>
      </c>
      <c r="H17" s="10">
        <f t="shared" si="4"/>
        <v>279.99999999999989</v>
      </c>
      <c r="I17" s="10"/>
      <c r="J17" s="10"/>
      <c r="K17" s="10"/>
      <c r="L17" s="10"/>
      <c r="M17" s="10"/>
      <c r="O17" t="s">
        <v>99</v>
      </c>
      <c r="R17" s="19">
        <f>R16/$C$26</f>
        <v>0.12418300653594772</v>
      </c>
      <c r="S17" s="19">
        <f t="shared" ref="S17:Z17" si="5">S16/$C$26</f>
        <v>0.12091503267973856</v>
      </c>
      <c r="T17" s="19">
        <f t="shared" si="5"/>
        <v>0.11764705882352941</v>
      </c>
      <c r="U17" s="19">
        <f t="shared" si="5"/>
        <v>0.11437908496732026</v>
      </c>
      <c r="V17" s="19">
        <f t="shared" si="5"/>
        <v>0</v>
      </c>
      <c r="W17" s="19">
        <f t="shared" si="5"/>
        <v>0</v>
      </c>
      <c r="X17" s="19">
        <f t="shared" si="5"/>
        <v>0</v>
      </c>
      <c r="Y17" s="19">
        <f t="shared" si="5"/>
        <v>0</v>
      </c>
      <c r="Z17" s="19">
        <f t="shared" si="5"/>
        <v>0</v>
      </c>
    </row>
    <row r="18" spans="2:26" x14ac:dyDescent="0.35">
      <c r="B18" t="s">
        <v>11</v>
      </c>
      <c r="E18" s="13">
        <f>E17/E15</f>
        <v>0.2</v>
      </c>
      <c r="F18" s="13">
        <f t="shared" ref="F18:H18" si="6">F17/F15</f>
        <v>0.3</v>
      </c>
      <c r="G18" s="13">
        <f t="shared" si="6"/>
        <v>0.35000000000000014</v>
      </c>
      <c r="H18" s="13">
        <f t="shared" si="6"/>
        <v>0.39999999999999986</v>
      </c>
      <c r="I18" s="13"/>
      <c r="J18" s="13"/>
      <c r="K18" s="13"/>
      <c r="L18" s="13"/>
      <c r="M18" s="13"/>
      <c r="O18" t="s">
        <v>100</v>
      </c>
      <c r="R18" s="10">
        <f>E17</f>
        <v>152</v>
      </c>
      <c r="S18" s="10">
        <f>F17</f>
        <v>222</v>
      </c>
      <c r="T18" s="10">
        <f>G17</f>
        <v>252.00000000000011</v>
      </c>
      <c r="U18" s="10">
        <f>H17</f>
        <v>279.99999999999989</v>
      </c>
      <c r="V18" s="10"/>
      <c r="W18" s="10"/>
      <c r="X18" s="10"/>
      <c r="Y18" s="10"/>
      <c r="Z18" s="10"/>
    </row>
    <row r="19" spans="2:26" x14ac:dyDescent="0.35">
      <c r="B19" t="s">
        <v>31</v>
      </c>
      <c r="E19">
        <f>$C$26*$C$2</f>
        <v>612</v>
      </c>
      <c r="F19">
        <f t="shared" ref="F19:H19" si="7">$C$26*$C$2</f>
        <v>612</v>
      </c>
      <c r="G19">
        <f t="shared" si="7"/>
        <v>612</v>
      </c>
      <c r="H19">
        <f t="shared" si="7"/>
        <v>612</v>
      </c>
      <c r="O19" t="s">
        <v>101</v>
      </c>
      <c r="R19" s="19">
        <f>R18/$C$26</f>
        <v>9.9346405228758164E-2</v>
      </c>
      <c r="S19" s="19">
        <f t="shared" ref="S19:Z19" si="8">S18/$C$26</f>
        <v>0.14509803921568629</v>
      </c>
      <c r="T19" s="19">
        <f t="shared" si="8"/>
        <v>0.16470588235294126</v>
      </c>
      <c r="U19" s="19">
        <f t="shared" si="8"/>
        <v>0.18300653594771235</v>
      </c>
      <c r="V19" s="19">
        <f t="shared" si="8"/>
        <v>0</v>
      </c>
      <c r="W19" s="19">
        <f t="shared" si="8"/>
        <v>0</v>
      </c>
      <c r="X19" s="19">
        <f t="shared" si="8"/>
        <v>0</v>
      </c>
      <c r="Y19" s="19">
        <f t="shared" si="8"/>
        <v>0</v>
      </c>
      <c r="Z19" s="19">
        <f t="shared" si="8"/>
        <v>0</v>
      </c>
    </row>
    <row r="20" spans="2:26" x14ac:dyDescent="0.35">
      <c r="B20" t="s">
        <v>76</v>
      </c>
      <c r="E20" s="10">
        <f>$C$26-SUM($E$17:E17)</f>
        <v>1378</v>
      </c>
      <c r="F20" s="10">
        <f>$C$26-SUM($E$17:F17)</f>
        <v>1156</v>
      </c>
      <c r="G20" s="10">
        <f>$C$26-SUM($E$17:G17)</f>
        <v>903.99999999999989</v>
      </c>
      <c r="H20" s="10">
        <f>$C$26-SUM($E$17:H17)</f>
        <v>624</v>
      </c>
      <c r="I20" s="10"/>
      <c r="J20" s="10"/>
      <c r="K20" s="10"/>
      <c r="L20" s="10"/>
      <c r="M20" s="10"/>
      <c r="V20" s="15"/>
    </row>
    <row r="21" spans="2:26" x14ac:dyDescent="0.35">
      <c r="B21" t="s">
        <v>102</v>
      </c>
      <c r="E21" t="str">
        <f>IF(E18&lt;=$C$2,"YES","NO")</f>
        <v>YES</v>
      </c>
      <c r="F21" t="str">
        <f>IF(F18&lt;=$C$2,"YES","NO")</f>
        <v>YES</v>
      </c>
      <c r="G21" t="str">
        <f>IF(G18&lt;=$C$2,"YES","NO")</f>
        <v>YES</v>
      </c>
      <c r="H21" t="str">
        <f>IF(H18&lt;=$C$2,"YES","NO")</f>
        <v>YES</v>
      </c>
      <c r="O21" t="s">
        <v>103</v>
      </c>
      <c r="P21">
        <f>SUM(R16:U16)</f>
        <v>730</v>
      </c>
    </row>
    <row r="22" spans="2:26" x14ac:dyDescent="0.35">
      <c r="B22" t="s">
        <v>79</v>
      </c>
      <c r="E22" t="str">
        <f>IF(E20&gt;=0,"YES","NO")</f>
        <v>YES</v>
      </c>
      <c r="F22" t="str">
        <f t="shared" ref="F22:H22" si="9">IF(F20&gt;=0,"YES","NO")</f>
        <v>YES</v>
      </c>
      <c r="G22" t="str">
        <f t="shared" si="9"/>
        <v>YES</v>
      </c>
      <c r="H22" t="str">
        <f t="shared" si="9"/>
        <v>YES</v>
      </c>
      <c r="O22" t="s">
        <v>104</v>
      </c>
      <c r="P22" s="10">
        <f>SUM(R18:U18)</f>
        <v>906</v>
      </c>
    </row>
    <row r="23" spans="2:26" x14ac:dyDescent="0.35">
      <c r="B23" t="s">
        <v>88</v>
      </c>
      <c r="E23" t="str">
        <f>IF(AND(E21="YES",E22="YES"),"YES","NO")</f>
        <v>YES</v>
      </c>
      <c r="F23" t="str">
        <f t="shared" ref="F23:H23" si="10">IF(AND(F21="YES",F22="YES"),"YES","NO")</f>
        <v>YES</v>
      </c>
      <c r="G23" t="str">
        <f t="shared" si="10"/>
        <v>YES</v>
      </c>
      <c r="H23" t="str">
        <f t="shared" si="10"/>
        <v>YES</v>
      </c>
      <c r="O23" t="s">
        <v>105</v>
      </c>
      <c r="P23" s="10">
        <f>P22-P21</f>
        <v>176</v>
      </c>
    </row>
    <row r="24" spans="2:26" x14ac:dyDescent="0.35">
      <c r="O24" t="s">
        <v>106</v>
      </c>
      <c r="P24" s="15">
        <f>SUM(R17:Z17)</f>
        <v>0.47712418300653597</v>
      </c>
    </row>
    <row r="25" spans="2:26" x14ac:dyDescent="0.35">
      <c r="B25" t="s">
        <v>80</v>
      </c>
      <c r="C25" s="10">
        <f>SUM(E15:M15)</f>
        <v>6120</v>
      </c>
      <c r="O25" t="s">
        <v>107</v>
      </c>
      <c r="P25" s="17">
        <f>SUM(R19:Z19)</f>
        <v>0.59215686274509804</v>
      </c>
    </row>
    <row r="26" spans="2:26" x14ac:dyDescent="0.35">
      <c r="B26" t="s">
        <v>66</v>
      </c>
      <c r="C26">
        <f>C25*$C$3</f>
        <v>1530</v>
      </c>
      <c r="O26" t="s">
        <v>108</v>
      </c>
      <c r="P26" s="14">
        <f>P25-P24</f>
        <v>0.11503267973856207</v>
      </c>
    </row>
    <row r="28" spans="2:26" x14ac:dyDescent="0.35">
      <c r="B28" t="s">
        <v>109</v>
      </c>
    </row>
    <row r="29" spans="2:26" x14ac:dyDescent="0.35">
      <c r="B29" t="s">
        <v>1</v>
      </c>
      <c r="E29" s="10">
        <v>2022</v>
      </c>
      <c r="F29" s="10">
        <f>E29+1</f>
        <v>2023</v>
      </c>
      <c r="G29" s="10">
        <f t="shared" ref="G29:L29" si="11">F29+1</f>
        <v>2024</v>
      </c>
      <c r="H29" s="10">
        <f t="shared" si="11"/>
        <v>2025</v>
      </c>
      <c r="I29" s="10">
        <f t="shared" si="11"/>
        <v>2026</v>
      </c>
      <c r="J29" s="10">
        <f t="shared" si="11"/>
        <v>2027</v>
      </c>
      <c r="K29" s="10">
        <f t="shared" si="11"/>
        <v>2028</v>
      </c>
      <c r="L29" s="10">
        <f t="shared" si="11"/>
        <v>2029</v>
      </c>
      <c r="M29">
        <v>2030</v>
      </c>
    </row>
    <row r="30" spans="2:26" x14ac:dyDescent="0.35">
      <c r="B30" t="s">
        <v>82</v>
      </c>
      <c r="E30" s="10">
        <f t="shared" ref="E30:M30" si="12">E$15*(1+E33)</f>
        <v>912</v>
      </c>
      <c r="F30" s="10">
        <f t="shared" si="12"/>
        <v>962</v>
      </c>
      <c r="G30" s="10">
        <f t="shared" si="12"/>
        <v>972.00000000000011</v>
      </c>
      <c r="H30" s="10">
        <f t="shared" si="12"/>
        <v>979.99999999999989</v>
      </c>
      <c r="I30" s="10">
        <f t="shared" si="12"/>
        <v>951.99999999999989</v>
      </c>
      <c r="J30" s="10">
        <f t="shared" si="12"/>
        <v>825</v>
      </c>
      <c r="K30" s="10">
        <f t="shared" si="12"/>
        <v>768</v>
      </c>
      <c r="L30" s="10">
        <f t="shared" si="12"/>
        <v>713</v>
      </c>
      <c r="M30" s="10">
        <f t="shared" si="12"/>
        <v>600</v>
      </c>
    </row>
    <row r="31" spans="2:26" x14ac:dyDescent="0.35">
      <c r="B31" t="s">
        <v>110</v>
      </c>
      <c r="E31" s="10">
        <f t="shared" ref="E31:M31" si="13">E$15*(1+E34)</f>
        <v>836.00000000000011</v>
      </c>
      <c r="F31" s="10">
        <f t="shared" si="13"/>
        <v>888</v>
      </c>
      <c r="G31" s="10">
        <f t="shared" si="13"/>
        <v>885.6</v>
      </c>
      <c r="H31" s="10">
        <f t="shared" si="13"/>
        <v>804.99999999999989</v>
      </c>
      <c r="I31" s="10">
        <f t="shared" si="13"/>
        <v>843.2</v>
      </c>
      <c r="J31" s="10">
        <f t="shared" si="13"/>
        <v>792</v>
      </c>
      <c r="K31" s="10">
        <f t="shared" si="13"/>
        <v>768</v>
      </c>
      <c r="L31" s="10">
        <f t="shared" si="13"/>
        <v>713</v>
      </c>
      <c r="M31" s="10">
        <f t="shared" si="13"/>
        <v>600</v>
      </c>
    </row>
    <row r="32" spans="2:26" x14ac:dyDescent="0.35">
      <c r="B32" t="s">
        <v>111</v>
      </c>
      <c r="E32" s="10">
        <f t="shared" ref="E32:M32" si="14">E$15*(1+E35)</f>
        <v>836.00000000000011</v>
      </c>
      <c r="F32" s="10">
        <f t="shared" si="14"/>
        <v>888</v>
      </c>
      <c r="G32" s="10">
        <f t="shared" si="14"/>
        <v>936</v>
      </c>
      <c r="H32" s="10">
        <f t="shared" si="14"/>
        <v>945.00000000000011</v>
      </c>
      <c r="I32" s="10">
        <f t="shared" si="14"/>
        <v>918.00000000000011</v>
      </c>
      <c r="J32" s="10">
        <f t="shared" si="14"/>
        <v>825</v>
      </c>
      <c r="K32" s="10">
        <f t="shared" si="14"/>
        <v>768</v>
      </c>
      <c r="L32" s="10">
        <f t="shared" si="14"/>
        <v>713</v>
      </c>
      <c r="M32" s="10">
        <f t="shared" si="14"/>
        <v>600</v>
      </c>
    </row>
    <row r="33" spans="2:32" x14ac:dyDescent="0.35">
      <c r="E33" s="9">
        <v>0.2</v>
      </c>
      <c r="F33" s="9">
        <v>0.3</v>
      </c>
      <c r="G33" s="9">
        <v>0.35</v>
      </c>
      <c r="H33" s="9">
        <v>0.4</v>
      </c>
      <c r="I33" s="9">
        <v>0.4</v>
      </c>
      <c r="J33" s="9">
        <v>0.25</v>
      </c>
      <c r="K33" s="9">
        <v>0.2</v>
      </c>
      <c r="L33" s="9">
        <v>0.15</v>
      </c>
      <c r="M33" s="9">
        <v>0</v>
      </c>
    </row>
    <row r="34" spans="2:32" x14ac:dyDescent="0.35">
      <c r="E34">
        <v>0.1</v>
      </c>
      <c r="F34">
        <v>0.2</v>
      </c>
      <c r="G34">
        <v>0.23</v>
      </c>
      <c r="H34">
        <v>0.15</v>
      </c>
      <c r="I34">
        <v>0.24</v>
      </c>
      <c r="J34">
        <v>0.2</v>
      </c>
      <c r="K34">
        <v>0.2</v>
      </c>
      <c r="L34">
        <v>0.15</v>
      </c>
      <c r="M34" s="9">
        <v>0</v>
      </c>
    </row>
    <row r="35" spans="2:32" x14ac:dyDescent="0.35">
      <c r="E35">
        <v>0.1</v>
      </c>
      <c r="F35">
        <v>0.2</v>
      </c>
      <c r="G35">
        <v>0.3</v>
      </c>
      <c r="H35">
        <v>0.35</v>
      </c>
      <c r="I35">
        <v>0.35</v>
      </c>
      <c r="J35">
        <v>0.25</v>
      </c>
      <c r="K35">
        <v>0.2</v>
      </c>
      <c r="L35">
        <v>0.15</v>
      </c>
      <c r="M35" s="9">
        <v>0</v>
      </c>
    </row>
    <row r="37" spans="2:32" x14ac:dyDescent="0.35">
      <c r="B37" s="16" t="s">
        <v>112</v>
      </c>
    </row>
    <row r="38" spans="2:32" x14ac:dyDescent="0.35">
      <c r="B38" t="s">
        <v>1</v>
      </c>
      <c r="C38">
        <v>2020</v>
      </c>
      <c r="D38">
        <v>2021</v>
      </c>
      <c r="E38">
        <v>2022</v>
      </c>
      <c r="F38">
        <v>2023</v>
      </c>
      <c r="G38">
        <v>2024</v>
      </c>
      <c r="H38">
        <v>2025</v>
      </c>
      <c r="I38" s="18">
        <v>2026</v>
      </c>
      <c r="J38" s="18">
        <v>2027</v>
      </c>
      <c r="K38" s="18">
        <v>2028</v>
      </c>
      <c r="L38" s="18">
        <v>2029</v>
      </c>
      <c r="M38" s="18">
        <v>2030</v>
      </c>
    </row>
    <row r="39" spans="2:32" x14ac:dyDescent="0.35">
      <c r="B39" t="s">
        <v>74</v>
      </c>
      <c r="C39">
        <f>C11</f>
        <v>1040</v>
      </c>
      <c r="D39">
        <f t="shared" ref="D39:M39" si="15">D11</f>
        <v>1014</v>
      </c>
      <c r="E39">
        <f t="shared" si="15"/>
        <v>988</v>
      </c>
      <c r="F39">
        <f t="shared" si="15"/>
        <v>962</v>
      </c>
      <c r="G39">
        <f t="shared" si="15"/>
        <v>936</v>
      </c>
      <c r="H39">
        <f t="shared" si="15"/>
        <v>910</v>
      </c>
      <c r="I39">
        <f t="shared" si="15"/>
        <v>884</v>
      </c>
      <c r="J39">
        <f t="shared" si="15"/>
        <v>858</v>
      </c>
      <c r="K39">
        <f t="shared" si="15"/>
        <v>832</v>
      </c>
      <c r="L39">
        <f t="shared" si="15"/>
        <v>806</v>
      </c>
      <c r="M39">
        <f t="shared" si="15"/>
        <v>780</v>
      </c>
    </row>
    <row r="40" spans="2:32" x14ac:dyDescent="0.35">
      <c r="B40" t="s">
        <v>75</v>
      </c>
      <c r="E40" s="10"/>
      <c r="F40" s="10"/>
      <c r="G40" s="10"/>
      <c r="H40" s="10"/>
      <c r="I40" s="20">
        <f>I54</f>
        <v>1237.5999999999999</v>
      </c>
      <c r="J40" s="10">
        <f t="shared" ref="J40:M40" si="16">J54</f>
        <v>1072.5</v>
      </c>
      <c r="K40" s="10">
        <f t="shared" si="16"/>
        <v>998.4</v>
      </c>
      <c r="L40" s="10">
        <f t="shared" si="16"/>
        <v>926.9</v>
      </c>
      <c r="M40" s="10">
        <f t="shared" si="16"/>
        <v>780</v>
      </c>
    </row>
    <row r="41" spans="2:32" x14ac:dyDescent="0.35">
      <c r="B41" t="s">
        <v>6</v>
      </c>
      <c r="E41" s="10"/>
      <c r="F41" s="10"/>
      <c r="G41" s="10"/>
      <c r="H41" s="10"/>
      <c r="I41" s="10">
        <f>I40-I39</f>
        <v>353.59999999999991</v>
      </c>
      <c r="J41" s="10">
        <f t="shared" ref="J41:M41" si="17">J40-J39</f>
        <v>214.5</v>
      </c>
      <c r="K41" s="10">
        <f t="shared" si="17"/>
        <v>166.39999999999998</v>
      </c>
      <c r="L41" s="10">
        <f t="shared" si="17"/>
        <v>120.89999999999998</v>
      </c>
      <c r="M41" s="10">
        <f t="shared" si="17"/>
        <v>0</v>
      </c>
    </row>
    <row r="42" spans="2:32" x14ac:dyDescent="0.35">
      <c r="B42" t="s">
        <v>11</v>
      </c>
      <c r="E42" s="13"/>
      <c r="F42" s="13"/>
      <c r="G42" s="13"/>
      <c r="H42" s="13"/>
      <c r="I42" s="13">
        <f>I41/I39</f>
        <v>0.39999999999999991</v>
      </c>
      <c r="J42" s="13">
        <f t="shared" ref="J42:M42" si="18">J41/J39</f>
        <v>0.25</v>
      </c>
      <c r="K42" s="13">
        <f t="shared" si="18"/>
        <v>0.19999999999999998</v>
      </c>
      <c r="L42" s="13">
        <f t="shared" si="18"/>
        <v>0.14999999999999997</v>
      </c>
      <c r="M42" s="13">
        <f t="shared" si="18"/>
        <v>0</v>
      </c>
    </row>
    <row r="43" spans="2:32" x14ac:dyDescent="0.35">
      <c r="B43" t="s">
        <v>31</v>
      </c>
      <c r="I43" s="20">
        <f>$C$50*$C$2</f>
        <v>345.6</v>
      </c>
      <c r="J43" s="20">
        <f t="shared" ref="J43:M43" si="19">$C$50*$C$2</f>
        <v>345.6</v>
      </c>
      <c r="K43" s="20">
        <f t="shared" si="19"/>
        <v>345.6</v>
      </c>
      <c r="L43" s="20">
        <f t="shared" si="19"/>
        <v>345.6</v>
      </c>
      <c r="M43" s="20">
        <f t="shared" si="19"/>
        <v>345.6</v>
      </c>
    </row>
    <row r="44" spans="2:32" x14ac:dyDescent="0.35">
      <c r="B44" t="s">
        <v>76</v>
      </c>
      <c r="E44" s="10"/>
      <c r="F44" s="10"/>
      <c r="G44" s="10"/>
      <c r="H44" s="10"/>
      <c r="I44" s="10">
        <f>$C$50-SUM($I$41:I41)</f>
        <v>510.40000000000009</v>
      </c>
      <c r="J44" s="10">
        <f>$C$50-SUM($I$41:J41)</f>
        <v>295.90000000000009</v>
      </c>
      <c r="K44" s="10">
        <f>$C$50-SUM($I$41:K41)</f>
        <v>129.50000000000011</v>
      </c>
      <c r="L44" s="10">
        <f>$C$50-SUM($I$41:L41)</f>
        <v>8.6000000000001364</v>
      </c>
      <c r="M44" s="10">
        <f>$C$50-SUM($I$41:M41)</f>
        <v>8.6000000000001364</v>
      </c>
      <c r="U44" s="10"/>
      <c r="V44" s="10"/>
      <c r="W44" s="10"/>
      <c r="X44" s="10"/>
      <c r="Y44" s="10"/>
      <c r="Z44" s="10"/>
      <c r="AA44" s="10"/>
      <c r="AB44" s="10"/>
      <c r="AF44" s="12"/>
    </row>
    <row r="45" spans="2:32" x14ac:dyDescent="0.35">
      <c r="B45" t="s">
        <v>102</v>
      </c>
      <c r="I45" t="str">
        <f t="shared" ref="I45:M45" si="20">IF(I42&lt;=$C$2,"YES","NO")</f>
        <v>YES</v>
      </c>
      <c r="J45" t="str">
        <f>IF(J42&lt;=$C$2,"YES","NO")</f>
        <v>YES</v>
      </c>
      <c r="K45" t="str">
        <f t="shared" si="20"/>
        <v>YES</v>
      </c>
      <c r="L45" t="str">
        <f t="shared" si="20"/>
        <v>YES</v>
      </c>
      <c r="M45" t="str">
        <f t="shared" si="20"/>
        <v>YES</v>
      </c>
    </row>
    <row r="46" spans="2:32" x14ac:dyDescent="0.35">
      <c r="B46" t="s">
        <v>79</v>
      </c>
      <c r="I46" t="str">
        <f t="shared" ref="I46:M46" si="21">IF(I44&gt;=0,"YES","NO")</f>
        <v>YES</v>
      </c>
      <c r="J46" t="str">
        <f t="shared" si="21"/>
        <v>YES</v>
      </c>
      <c r="K46" t="str">
        <f t="shared" si="21"/>
        <v>YES</v>
      </c>
      <c r="L46" t="str">
        <f t="shared" si="21"/>
        <v>YES</v>
      </c>
      <c r="M46" t="str">
        <f t="shared" si="21"/>
        <v>YES</v>
      </c>
    </row>
    <row r="47" spans="2:32" x14ac:dyDescent="0.35">
      <c r="B47" t="s">
        <v>88</v>
      </c>
      <c r="I47" t="str">
        <f t="shared" ref="I47:M47" si="22">IF(AND(I45="YES",I46="YES"),"YES","NO")</f>
        <v>YES</v>
      </c>
      <c r="J47" t="str">
        <f t="shared" si="22"/>
        <v>YES</v>
      </c>
      <c r="K47" t="str">
        <f t="shared" si="22"/>
        <v>YES</v>
      </c>
      <c r="L47" t="str">
        <f t="shared" si="22"/>
        <v>YES</v>
      </c>
      <c r="M47" t="str">
        <f t="shared" si="22"/>
        <v>YES</v>
      </c>
    </row>
    <row r="49" spans="2:29" x14ac:dyDescent="0.35">
      <c r="B49" t="s">
        <v>80</v>
      </c>
      <c r="C49" s="10">
        <f>SUM(I39:M39)</f>
        <v>4160</v>
      </c>
      <c r="U49" s="10"/>
      <c r="V49" s="10"/>
      <c r="W49" s="10"/>
      <c r="X49" s="10"/>
      <c r="Y49" s="10"/>
      <c r="Z49" s="10"/>
      <c r="AA49" s="10"/>
      <c r="AB49" s="10"/>
      <c r="AC49" s="10"/>
    </row>
    <row r="50" spans="2:29" x14ac:dyDescent="0.35">
      <c r="B50" t="s">
        <v>113</v>
      </c>
      <c r="C50">
        <f>(C49*$C$3)-P23</f>
        <v>864</v>
      </c>
    </row>
    <row r="51" spans="2:29" x14ac:dyDescent="0.35">
      <c r="U51" s="17"/>
      <c r="V51" s="17"/>
      <c r="W51" s="17"/>
      <c r="X51" s="17"/>
      <c r="Y51" s="17"/>
      <c r="Z51" s="17"/>
      <c r="AA51" s="17"/>
      <c r="AB51" s="17"/>
      <c r="AC51" s="17"/>
    </row>
    <row r="52" spans="2:29" x14ac:dyDescent="0.35">
      <c r="B52" t="s">
        <v>109</v>
      </c>
      <c r="U52" s="17"/>
      <c r="V52" s="17"/>
      <c r="W52" s="17"/>
      <c r="X52" s="17"/>
      <c r="Y52" s="17"/>
      <c r="Z52" s="17"/>
      <c r="AA52" s="17"/>
      <c r="AB52" s="17"/>
      <c r="AC52" s="17"/>
    </row>
    <row r="53" spans="2:29" x14ac:dyDescent="0.35">
      <c r="B53" t="s">
        <v>1</v>
      </c>
      <c r="E53" s="10">
        <v>2022</v>
      </c>
      <c r="F53" s="10">
        <f>E53+1</f>
        <v>2023</v>
      </c>
      <c r="G53" s="10">
        <f t="shared" ref="G53:L53" si="23">F53+1</f>
        <v>2024</v>
      </c>
      <c r="H53" s="10">
        <f t="shared" si="23"/>
        <v>2025</v>
      </c>
      <c r="I53" s="10">
        <f t="shared" si="23"/>
        <v>2026</v>
      </c>
      <c r="J53" s="10">
        <f t="shared" si="23"/>
        <v>2027</v>
      </c>
      <c r="K53" s="10">
        <f t="shared" si="23"/>
        <v>2028</v>
      </c>
      <c r="L53" s="10">
        <f t="shared" si="23"/>
        <v>2029</v>
      </c>
      <c r="M53">
        <v>2030</v>
      </c>
    </row>
    <row r="54" spans="2:29" x14ac:dyDescent="0.35">
      <c r="B54" t="s">
        <v>82</v>
      </c>
      <c r="E54" s="10">
        <f>E$39*(1+E57)</f>
        <v>1185.5999999999999</v>
      </c>
      <c r="F54" s="10">
        <f t="shared" ref="F54:M56" si="24">F$39*(1+F57)</f>
        <v>1250.6000000000001</v>
      </c>
      <c r="G54" s="10">
        <f t="shared" si="24"/>
        <v>1263.6000000000001</v>
      </c>
      <c r="H54" s="10">
        <f t="shared" si="24"/>
        <v>1274</v>
      </c>
      <c r="I54" s="10">
        <f t="shared" si="24"/>
        <v>1237.5999999999999</v>
      </c>
      <c r="J54" s="10">
        <f t="shared" si="24"/>
        <v>1072.5</v>
      </c>
      <c r="K54" s="10">
        <f t="shared" si="24"/>
        <v>998.4</v>
      </c>
      <c r="L54" s="10">
        <f t="shared" si="24"/>
        <v>926.9</v>
      </c>
      <c r="M54" s="10">
        <f t="shared" si="24"/>
        <v>780</v>
      </c>
    </row>
    <row r="55" spans="2:29" x14ac:dyDescent="0.35">
      <c r="B55" t="s">
        <v>110</v>
      </c>
      <c r="E55" s="10">
        <f>E$39*(1+E58)</f>
        <v>1086.8000000000002</v>
      </c>
      <c r="F55" s="10">
        <f t="shared" si="24"/>
        <v>1154.3999999999999</v>
      </c>
      <c r="G55" s="10">
        <f t="shared" si="24"/>
        <v>1151.28</v>
      </c>
      <c r="H55" s="10">
        <f t="shared" si="24"/>
        <v>1046.5</v>
      </c>
      <c r="I55" s="10">
        <f t="shared" si="24"/>
        <v>1096.1600000000001</v>
      </c>
      <c r="J55" s="10">
        <f t="shared" si="24"/>
        <v>1029.5999999999999</v>
      </c>
      <c r="K55" s="10">
        <f t="shared" si="24"/>
        <v>998.4</v>
      </c>
      <c r="L55" s="10">
        <f t="shared" si="24"/>
        <v>926.9</v>
      </c>
      <c r="M55" s="10">
        <f t="shared" si="24"/>
        <v>780</v>
      </c>
      <c r="U55" s="10"/>
      <c r="V55" s="10"/>
      <c r="W55" s="10"/>
      <c r="X55" s="10"/>
    </row>
    <row r="56" spans="2:29" x14ac:dyDescent="0.35">
      <c r="B56" t="s">
        <v>111</v>
      </c>
      <c r="E56" s="10">
        <f>E$39*(1+E59)</f>
        <v>1086.8000000000002</v>
      </c>
      <c r="F56" s="10">
        <f t="shared" si="24"/>
        <v>1154.3999999999999</v>
      </c>
      <c r="G56" s="10">
        <f t="shared" si="24"/>
        <v>1216.8</v>
      </c>
      <c r="H56" s="10">
        <f t="shared" si="24"/>
        <v>1228.5</v>
      </c>
      <c r="I56" s="10">
        <f t="shared" si="24"/>
        <v>1193.4000000000001</v>
      </c>
      <c r="J56" s="10">
        <f t="shared" si="24"/>
        <v>1072.5</v>
      </c>
      <c r="K56" s="10">
        <f t="shared" si="24"/>
        <v>998.4</v>
      </c>
      <c r="L56" s="10">
        <f t="shared" si="24"/>
        <v>926.9</v>
      </c>
      <c r="M56" s="10">
        <f t="shared" si="24"/>
        <v>780</v>
      </c>
      <c r="U56" s="17"/>
      <c r="V56" s="17"/>
      <c r="W56" s="17"/>
      <c r="X56" s="17"/>
      <c r="Y56" s="17"/>
      <c r="Z56" s="17"/>
      <c r="AA56" s="17"/>
      <c r="AB56" s="17"/>
      <c r="AC56" s="17"/>
    </row>
    <row r="57" spans="2:29" x14ac:dyDescent="0.35">
      <c r="E57" s="9">
        <v>0.2</v>
      </c>
      <c r="F57" s="9">
        <v>0.3</v>
      </c>
      <c r="G57" s="9">
        <v>0.35</v>
      </c>
      <c r="H57" s="9">
        <v>0.4</v>
      </c>
      <c r="I57" s="9">
        <v>0.4</v>
      </c>
      <c r="J57" s="9">
        <v>0.25</v>
      </c>
      <c r="K57" s="9">
        <v>0.2</v>
      </c>
      <c r="L57" s="9">
        <v>0.15</v>
      </c>
      <c r="M57" s="9">
        <v>0</v>
      </c>
      <c r="U57" s="13"/>
      <c r="V57" s="13"/>
      <c r="W57" s="13"/>
      <c r="X57" s="13"/>
    </row>
    <row r="58" spans="2:29" x14ac:dyDescent="0.35">
      <c r="E58">
        <v>0.1</v>
      </c>
      <c r="F58">
        <v>0.2</v>
      </c>
      <c r="G58">
        <v>0.23</v>
      </c>
      <c r="H58">
        <v>0.15</v>
      </c>
      <c r="I58">
        <v>0.24</v>
      </c>
      <c r="J58">
        <v>0.2</v>
      </c>
      <c r="K58">
        <v>0.2</v>
      </c>
      <c r="L58">
        <v>0.15</v>
      </c>
      <c r="M58" s="9">
        <v>0</v>
      </c>
    </row>
    <row r="59" spans="2:29" x14ac:dyDescent="0.35">
      <c r="E59">
        <v>0.1</v>
      </c>
      <c r="F59">
        <v>0.2</v>
      </c>
      <c r="G59">
        <v>0.3</v>
      </c>
      <c r="H59">
        <v>0.35</v>
      </c>
      <c r="I59">
        <v>0.35</v>
      </c>
      <c r="J59">
        <v>0.25</v>
      </c>
      <c r="K59">
        <v>0.2</v>
      </c>
      <c r="L59">
        <v>0.15</v>
      </c>
      <c r="M59" s="9">
        <v>0</v>
      </c>
    </row>
    <row r="60" spans="2:29" x14ac:dyDescent="0.35">
      <c r="E60" s="10"/>
      <c r="F60" s="10"/>
      <c r="G60" s="10"/>
      <c r="H60" s="10"/>
      <c r="I60" s="10"/>
      <c r="J60" s="10"/>
      <c r="K60" s="10"/>
      <c r="L60" s="10"/>
      <c r="M60" s="10"/>
    </row>
    <row r="61" spans="2:29" x14ac:dyDescent="0.35">
      <c r="E61" s="10"/>
      <c r="F61" s="10"/>
      <c r="G61" s="10"/>
      <c r="H61" s="10"/>
      <c r="I61" s="10"/>
      <c r="J61" s="10"/>
      <c r="K61" s="10"/>
      <c r="L61" s="10"/>
      <c r="M61" s="10"/>
    </row>
    <row r="62" spans="2:29" x14ac:dyDescent="0.35">
      <c r="E62" s="10"/>
      <c r="F62" s="10"/>
      <c r="G62" s="10"/>
      <c r="H62" s="10"/>
      <c r="I62" s="10"/>
      <c r="J62" s="10"/>
      <c r="K62" s="10"/>
      <c r="L62" s="10"/>
      <c r="M62" s="10"/>
    </row>
    <row r="63" spans="2:29" x14ac:dyDescent="0.35">
      <c r="E63" s="9"/>
      <c r="F63" s="9"/>
      <c r="G63" s="9"/>
      <c r="H63" s="9"/>
      <c r="I63" s="9"/>
      <c r="J63" s="9"/>
      <c r="K63" s="9"/>
      <c r="L63" s="9"/>
      <c r="M63" s="9"/>
    </row>
    <row r="64" spans="2:29" x14ac:dyDescent="0.35">
      <c r="M64" s="9"/>
    </row>
    <row r="65" spans="13:13" x14ac:dyDescent="0.35">
      <c r="M65" s="9"/>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E62EFBDE2C71E748B4B32D860E49E353" ma:contentTypeVersion="14" ma:contentTypeDescription="Create a new document." ma:contentTypeScope="" ma:versionID="875511343eeddf387e6df635f9f20484">
  <xsd:schema xmlns:xsd="http://www.w3.org/2001/XMLSchema" xmlns:xs="http://www.w3.org/2001/XMLSchema" xmlns:p="http://schemas.microsoft.com/office/2006/metadata/properties" xmlns:ns2="2e4ae645-0ce5-4260-af77-779433ca5292" xmlns:ns3="341a4432-368e-4ae5-a3cd-f11a3d9c9ba6" targetNamespace="http://schemas.microsoft.com/office/2006/metadata/properties" ma:root="true" ma:fieldsID="8b718756ae9592da3f4f5278c6545b9f" ns2:_="" ns3:_="">
    <xsd:import namespace="2e4ae645-0ce5-4260-af77-779433ca5292"/>
    <xsd:import namespace="341a4432-368e-4ae5-a3cd-f11a3d9c9ba6"/>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ObjectDetectorVersions" minOccurs="0"/>
                <xsd:element ref="ns2:MediaServiceSearchProperties" minOccurs="0"/>
                <xsd:element ref="ns2:lcf76f155ced4ddcb4097134ff3c332f" minOccurs="0"/>
                <xsd:element ref="ns3:TaxCatchAll" minOccurs="0"/>
                <xsd:element ref="ns2:MediaServiceDateTaken" minOccurs="0"/>
                <xsd:element ref="ns2:MediaServiceGenerationTime" minOccurs="0"/>
                <xsd:element ref="ns2:MediaServiceEventHashCode" minOccurs="0"/>
                <xsd:element ref="ns2:MediaLengthInSeconds" minOccurs="0"/>
                <xsd:element ref="ns2:MediaServiceOC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e4ae645-0ce5-4260-af77-779433ca5292"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2" nillable="true" ma:displayName="MediaServiceObjectDetectorVersions" ma:hidden="true" ma:indexed="true" ma:internalName="MediaServiceObjectDetectorVersions" ma:readOnly="true">
      <xsd:simpleType>
        <xsd:restriction base="dms:Text"/>
      </xsd:simpleType>
    </xsd:element>
    <xsd:element name="MediaServiceSearchProperties" ma:index="13" nillable="true" ma:displayName="MediaServiceSearchProperties" ma:hidden="true" ma:internalName="MediaServiceSearchProperties" ma:readOnly="true">
      <xsd:simpleType>
        <xsd:restriction base="dms:Note"/>
      </xsd:simpleType>
    </xsd:element>
    <xsd:element name="lcf76f155ced4ddcb4097134ff3c332f" ma:index="15" nillable="true" ma:taxonomy="true" ma:internalName="lcf76f155ced4ddcb4097134ff3c332f" ma:taxonomyFieldName="MediaServiceImageTags" ma:displayName="Image Tags" ma:readOnly="false" ma:fieldId="{5cf76f15-5ced-4ddc-b409-7134ff3c332f}" ma:taxonomyMulti="true" ma:sspId="2a0d2450-f9ec-43e5-9ca0-39092f98c749" ma:termSetId="09814cd3-568e-fe90-9814-8d621ff8fb84" ma:anchorId="fba54fb3-c3e1-fe81-a776-ca4b69148c4d" ma:open="true" ma:isKeyword="false">
      <xsd:complexType>
        <xsd:sequence>
          <xsd:element ref="pc:Terms" minOccurs="0" maxOccurs="1"/>
        </xsd:sequence>
      </xsd:complexType>
    </xsd:element>
    <xsd:element name="MediaServiceDateTaken" ma:index="17" nillable="true" ma:displayName="MediaServiceDateTaken" ma:hidden="true" ma:indexed="true" ma:internalName="MediaServiceDateTaken" ma:readOnly="true">
      <xsd:simpleType>
        <xsd:restriction base="dms:Text"/>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MediaLengthInSeconds" ma:index="20" nillable="true" ma:displayName="MediaLengthInSeconds" ma:hidden="true" ma:internalName="MediaLengthInSeconds" ma:readOnly="true">
      <xsd:simpleType>
        <xsd:restriction base="dms:Unknown"/>
      </xsd:simpleType>
    </xsd:element>
    <xsd:element name="MediaServiceOCR" ma:index="21" nillable="true" ma:displayName="Extracted Text" ma:internalName="MediaServiceOCR"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341a4432-368e-4ae5-a3cd-f11a3d9c9ba6"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element name="TaxCatchAll" ma:index="16" nillable="true" ma:displayName="Taxonomy Catch All Column" ma:hidden="true" ma:list="{062806af-6539-4149-9c5d-c7c4cceba347}" ma:internalName="TaxCatchAll" ma:showField="CatchAllData" ma:web="341a4432-368e-4ae5-a3cd-f11a3d9c9ba6">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2e4ae645-0ce5-4260-af77-779433ca5292">
      <Terms xmlns="http://schemas.microsoft.com/office/infopath/2007/PartnerControls"/>
    </lcf76f155ced4ddcb4097134ff3c332f>
    <TaxCatchAll xmlns="341a4432-368e-4ae5-a3cd-f11a3d9c9ba6" xsi:nil="true"/>
  </documentManagement>
</p:properties>
</file>

<file path=customXml/itemProps1.xml><?xml version="1.0" encoding="utf-8"?>
<ds:datastoreItem xmlns:ds="http://schemas.openxmlformats.org/officeDocument/2006/customXml" ds:itemID="{AC9C0CD4-6743-42D7-BA30-2834BB97220E}">
  <ds:schemaRefs>
    <ds:schemaRef ds:uri="http://schemas.microsoft.com/sharepoint/v3/contenttype/forms"/>
  </ds:schemaRefs>
</ds:datastoreItem>
</file>

<file path=customXml/itemProps2.xml><?xml version="1.0" encoding="utf-8"?>
<ds:datastoreItem xmlns:ds="http://schemas.openxmlformats.org/officeDocument/2006/customXml" ds:itemID="{5DD6E7A7-2E22-4A82-99F4-3C08679ECD2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e4ae645-0ce5-4260-af77-779433ca5292"/>
    <ds:schemaRef ds:uri="341a4432-368e-4ae5-a3cd-f11a3d9c9ba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468F6A8A-D487-4658-8B61-FAB7481A8538}">
  <ds:schemaRefs>
    <ds:schemaRef ds:uri="http://schemas.microsoft.com/office/2006/metadata/properties"/>
    <ds:schemaRef ds:uri="http://schemas.microsoft.com/office/infopath/2007/PartnerControls"/>
    <ds:schemaRef ds:uri="2e4ae645-0ce5-4260-af77-779433ca5292"/>
    <ds:schemaRef ds:uri="341a4432-368e-4ae5-a3cd-f11a3d9c9ba6"/>
  </ds:schemaRefs>
</ds:datastoreItem>
</file>

<file path=docMetadata/LabelInfo.xml><?xml version="1.0" encoding="utf-8"?>
<clbl:labelList xmlns:clbl="http://schemas.microsoft.com/office/2020/mipLabelMetadata">
  <clbl:label id="{e0793d39-0939-496d-b129-198edd916feb}" enabled="0" method="" siteId="{e0793d39-0939-496d-b129-198edd916feb}" removed="1"/>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10</vt:i4>
      </vt:variant>
    </vt:vector>
  </HeadingPairs>
  <TitlesOfParts>
    <vt:vector size="10" baseType="lpstr">
      <vt:lpstr>Example 1</vt:lpstr>
      <vt:lpstr>Example 2</vt:lpstr>
      <vt:lpstr>Banking comparission</vt:lpstr>
      <vt:lpstr>Claim examples</vt:lpstr>
      <vt:lpstr>Intro</vt:lpstr>
      <vt:lpstr>Absolute_targets</vt:lpstr>
      <vt:lpstr>Intensity_targets</vt:lpstr>
      <vt:lpstr>Combined_4_alt</vt:lpstr>
      <vt:lpstr>Reb_up</vt:lpstr>
      <vt:lpstr>Reb_down</vt:lpstr>
    </vt:vector>
  </TitlesOfParts>
  <Manager/>
  <Company>The Voluntary Carbon Markets Integrity Initiative</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Henrique Luz</dc:creator>
  <cp:keywords/>
  <dc:description/>
  <cp:lastModifiedBy>Kellen Rodney</cp:lastModifiedBy>
  <cp:revision/>
  <dcterms:created xsi:type="dcterms:W3CDTF">2024-11-30T12:59:44Z</dcterms:created>
  <dcterms:modified xsi:type="dcterms:W3CDTF">2025-04-22T13:34:44Z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ediaServiceImageTags">
    <vt:lpwstr/>
  </property>
  <property fmtid="{D5CDD505-2E9C-101B-9397-08002B2CF9AE}" pid="3" name="ContentTypeId">
    <vt:lpwstr>0x010100E62EFBDE2C71E748B4B32D860E49E353</vt:lpwstr>
  </property>
</Properties>
</file>